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9396" activeTab="4"/>
  </bookViews>
  <sheets>
    <sheet name="Исходные данные" sheetId="2" r:id="rId1"/>
    <sheet name="Т 1" sheetId="3" r:id="rId2"/>
    <sheet name="Т 2" sheetId="4" r:id="rId3"/>
    <sheet name="Т 3" sheetId="5" r:id="rId4"/>
    <sheet name="Т 4" sheetId="6" r:id="rId5"/>
    <sheet name="Т 5" sheetId="7" r:id="rId6"/>
    <sheet name="Т 6" sheetId="8" r:id="rId7"/>
    <sheet name="ОС" sheetId="9" r:id="rId8"/>
    <sheet name="Т 7" sheetId="10" r:id="rId9"/>
    <sheet name="Т 8" sheetId="11" r:id="rId10"/>
    <sheet name="Т 9" sheetId="12" r:id="rId11"/>
    <sheet name="Т 10" sheetId="13" r:id="rId12"/>
    <sheet name="Т 11" sheetId="14" r:id="rId1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44" i="13"/>
  <c r="AT44"/>
  <c r="AU44"/>
  <c r="AR44"/>
  <c r="AN44"/>
  <c r="AO44"/>
  <c r="AP44"/>
  <c r="AM44"/>
  <c r="AG44"/>
  <c r="AH44"/>
  <c r="AI44"/>
  <c r="AF44"/>
  <c r="AB44"/>
  <c r="AC44"/>
  <c r="AD44"/>
  <c r="AA44"/>
  <c r="U44"/>
  <c r="V44"/>
  <c r="W44"/>
  <c r="T44"/>
  <c r="P44"/>
  <c r="Q44"/>
  <c r="R44"/>
  <c r="O44"/>
  <c r="I44"/>
  <c r="J44"/>
  <c r="K44"/>
  <c r="H44"/>
  <c r="AV6" i="12"/>
  <c r="AW12" i="3"/>
  <c r="AS11"/>
  <c r="AT11" s="1"/>
  <c r="AU11" s="1"/>
  <c r="AV11" s="1"/>
  <c r="AT10"/>
  <c r="AU10" s="1"/>
  <c r="AV10" s="1"/>
  <c r="AS10"/>
  <c r="AU9"/>
  <c r="AV9" s="1"/>
  <c r="AT9"/>
  <c r="AS9"/>
  <c r="AV8"/>
  <c r="AU8"/>
  <c r="AU7" s="1"/>
  <c r="AT8"/>
  <c r="AT7" s="1"/>
  <c r="AS8"/>
  <c r="AW8" s="1"/>
  <c r="AS7"/>
  <c r="AS13" s="1"/>
  <c r="AS4"/>
  <c r="AR12"/>
  <c r="AO11"/>
  <c r="AP11" s="1"/>
  <c r="AQ11" s="1"/>
  <c r="AN11"/>
  <c r="AN10"/>
  <c r="AO9"/>
  <c r="AP9" s="1"/>
  <c r="AQ9" s="1"/>
  <c r="AN9"/>
  <c r="AN8"/>
  <c r="AO8" s="1"/>
  <c r="AN4"/>
  <c r="AK12"/>
  <c r="AI11"/>
  <c r="AJ11" s="1"/>
  <c r="AH11"/>
  <c r="AG11"/>
  <c r="AJ10"/>
  <c r="AI10"/>
  <c r="AH10"/>
  <c r="AG10"/>
  <c r="AK10" s="1"/>
  <c r="AG9"/>
  <c r="AH9" s="1"/>
  <c r="AI9" s="1"/>
  <c r="AJ9" s="1"/>
  <c r="AH8"/>
  <c r="AI8" s="1"/>
  <c r="AG8"/>
  <c r="AG7" s="1"/>
  <c r="AG4"/>
  <c r="AB9"/>
  <c r="AB8"/>
  <c r="AF12"/>
  <c r="AB11"/>
  <c r="AC11" s="1"/>
  <c r="AD11" s="1"/>
  <c r="AE11" s="1"/>
  <c r="AB10"/>
  <c r="AB4"/>
  <c r="D17" i="12"/>
  <c r="E17"/>
  <c r="F17"/>
  <c r="G17"/>
  <c r="C17"/>
  <c r="AU5" i="14"/>
  <c r="AV5" s="1"/>
  <c r="AW5" s="1"/>
  <c r="AX5" s="1"/>
  <c r="AT5"/>
  <c r="AT16"/>
  <c r="AU16" s="1"/>
  <c r="AV16" s="1"/>
  <c r="AW16" s="1"/>
  <c r="AT3"/>
  <c r="AN7"/>
  <c r="AN8"/>
  <c r="AN9"/>
  <c r="AN10"/>
  <c r="AN11"/>
  <c r="AN12"/>
  <c r="AN14"/>
  <c r="AN6"/>
  <c r="M12"/>
  <c r="Y12" s="1"/>
  <c r="AM12" s="1"/>
  <c r="AM7"/>
  <c r="AM8"/>
  <c r="AM9"/>
  <c r="AM10"/>
  <c r="AM11"/>
  <c r="AM14"/>
  <c r="AM6"/>
  <c r="AN5"/>
  <c r="AM5"/>
  <c r="AR16"/>
  <c r="AQ16"/>
  <c r="AP16"/>
  <c r="AO16"/>
  <c r="AS5"/>
  <c r="AR5"/>
  <c r="AQ5"/>
  <c r="AP5"/>
  <c r="AO5"/>
  <c r="AO3"/>
  <c r="G14"/>
  <c r="M14"/>
  <c r="Y14" s="1"/>
  <c r="N14"/>
  <c r="Z14" s="1"/>
  <c r="AY32" i="5"/>
  <c r="AT13" i="3" l="1"/>
  <c r="AT14" s="1"/>
  <c r="AT15" s="1"/>
  <c r="AU13"/>
  <c r="AU14" s="1"/>
  <c r="AU15" s="1"/>
  <c r="AW9"/>
  <c r="AV7"/>
  <c r="AW10"/>
  <c r="AW11"/>
  <c r="AS14"/>
  <c r="AW7"/>
  <c r="AR9"/>
  <c r="AP8"/>
  <c r="AO7"/>
  <c r="AR11"/>
  <c r="AR10"/>
  <c r="AN7"/>
  <c r="AO10"/>
  <c r="AP10" s="1"/>
  <c r="AQ10" s="1"/>
  <c r="AG14"/>
  <c r="AG13"/>
  <c r="AJ8"/>
  <c r="AJ7" s="1"/>
  <c r="AI7"/>
  <c r="AK11"/>
  <c r="AK9"/>
  <c r="AH7"/>
  <c r="AK7" s="1"/>
  <c r="AK8"/>
  <c r="AB7"/>
  <c r="AC10"/>
  <c r="AD10" s="1"/>
  <c r="AE10" s="1"/>
  <c r="AF11"/>
  <c r="AC9"/>
  <c r="AD9" s="1"/>
  <c r="AE9" s="1"/>
  <c r="AC8"/>
  <c r="AO6" i="14"/>
  <c r="AH3"/>
  <c r="AK16"/>
  <c r="AD16"/>
  <c r="AH16" s="1"/>
  <c r="AL5"/>
  <c r="AK5"/>
  <c r="AJ5"/>
  <c r="AI5"/>
  <c r="AH5"/>
  <c r="AG5"/>
  <c r="AF5"/>
  <c r="AY6"/>
  <c r="T8" i="5"/>
  <c r="AW9"/>
  <c r="AX9"/>
  <c r="AV9"/>
  <c r="AT23"/>
  <c r="AS23"/>
  <c r="AR23"/>
  <c r="AS18"/>
  <c r="AT18"/>
  <c r="AR18"/>
  <c r="AR13"/>
  <c r="AS13"/>
  <c r="AT13"/>
  <c r="AQ13"/>
  <c r="W13"/>
  <c r="X13"/>
  <c r="Y13"/>
  <c r="V13"/>
  <c r="AR8"/>
  <c r="AS8"/>
  <c r="AT8"/>
  <c r="AQ8"/>
  <c r="W8"/>
  <c r="X8"/>
  <c r="Y8"/>
  <c r="V8"/>
  <c r="AE7"/>
  <c r="AF7"/>
  <c r="AG7"/>
  <c r="AD7"/>
  <c r="AE32"/>
  <c r="AF32"/>
  <c r="AG32"/>
  <c r="AD32"/>
  <c r="AE27"/>
  <c r="AF27"/>
  <c r="AG27"/>
  <c r="AD27"/>
  <c r="AE22"/>
  <c r="AF22"/>
  <c r="AG22"/>
  <c r="AD22"/>
  <c r="AE17"/>
  <c r="AF17"/>
  <c r="AG17"/>
  <c r="AD17"/>
  <c r="AE12"/>
  <c r="AF12"/>
  <c r="AG12"/>
  <c r="AD12"/>
  <c r="D70" i="2"/>
  <c r="C70"/>
  <c r="D69"/>
  <c r="D71"/>
  <c r="E70"/>
  <c r="AS15" i="3" l="1"/>
  <c r="AW13"/>
  <c r="AV13"/>
  <c r="AV14"/>
  <c r="AV15" s="1"/>
  <c r="AP7"/>
  <c r="AQ8"/>
  <c r="AN13"/>
  <c r="AO13"/>
  <c r="AO14"/>
  <c r="AO15" s="1"/>
  <c r="AG15"/>
  <c r="AI13"/>
  <c r="AI14"/>
  <c r="AI15" s="1"/>
  <c r="AK13"/>
  <c r="AH13"/>
  <c r="AH14" s="1"/>
  <c r="AJ13"/>
  <c r="AJ14"/>
  <c r="AJ15" s="1"/>
  <c r="AF9"/>
  <c r="AD8"/>
  <c r="AC7"/>
  <c r="AB13"/>
  <c r="AF10"/>
  <c r="AT6" i="14"/>
  <c r="AU6"/>
  <c r="AV6"/>
  <c r="AW6"/>
  <c r="AX6" s="1"/>
  <c r="AH6"/>
  <c r="AQ6"/>
  <c r="AR6"/>
  <c r="AP6"/>
  <c r="AI6"/>
  <c r="AK6"/>
  <c r="AL6" s="1"/>
  <c r="AJ6"/>
  <c r="AI16"/>
  <c r="AJ16" s="1"/>
  <c r="G81" i="7"/>
  <c r="G72"/>
  <c r="F81"/>
  <c r="AW15" i="3" l="1"/>
  <c r="AW14"/>
  <c r="AP13"/>
  <c r="AP14" s="1"/>
  <c r="AP15" s="1"/>
  <c r="AQ7"/>
  <c r="AR8"/>
  <c r="AN14"/>
  <c r="AH15"/>
  <c r="AK15" s="1"/>
  <c r="AK14"/>
  <c r="AD7"/>
  <c r="AE8"/>
  <c r="AE7" s="1"/>
  <c r="AC13"/>
  <c r="AC14" s="1"/>
  <c r="AC15" s="1"/>
  <c r="AB14"/>
  <c r="AS6" i="14"/>
  <c r="I9" i="6"/>
  <c r="C6" i="2"/>
  <c r="I7" i="6" s="1"/>
  <c r="C7" i="2"/>
  <c r="H8" i="6" s="1"/>
  <c r="C8" i="2"/>
  <c r="Q32" i="5"/>
  <c r="T27"/>
  <c r="Y27" s="1"/>
  <c r="AL27" s="1"/>
  <c r="AT27" s="1"/>
  <c r="AY27" s="1"/>
  <c r="R27"/>
  <c r="W27" s="1"/>
  <c r="AJ27" s="1"/>
  <c r="AR27" s="1"/>
  <c r="AW27" s="1"/>
  <c r="S27"/>
  <c r="X27" s="1"/>
  <c r="AK27" s="1"/>
  <c r="AS27" s="1"/>
  <c r="AX27" s="1"/>
  <c r="Q27"/>
  <c r="V27" s="1"/>
  <c r="AI27" s="1"/>
  <c r="AQ27" s="1"/>
  <c r="AV27" s="1"/>
  <c r="R22"/>
  <c r="W22" s="1"/>
  <c r="AJ22" s="1"/>
  <c r="AR22" s="1"/>
  <c r="AW22" s="1"/>
  <c r="S22"/>
  <c r="X22" s="1"/>
  <c r="AK22" s="1"/>
  <c r="AS22" s="1"/>
  <c r="AX22" s="1"/>
  <c r="T22"/>
  <c r="Y22" s="1"/>
  <c r="AL22" s="1"/>
  <c r="AT22" s="1"/>
  <c r="AY22" s="1"/>
  <c r="Q22"/>
  <c r="V22" s="1"/>
  <c r="AI22" s="1"/>
  <c r="AQ22" s="1"/>
  <c r="AV22" s="1"/>
  <c r="R17"/>
  <c r="W17" s="1"/>
  <c r="AJ17" s="1"/>
  <c r="AR17" s="1"/>
  <c r="AW17" s="1"/>
  <c r="S17"/>
  <c r="X17" s="1"/>
  <c r="AK17" s="1"/>
  <c r="AS17" s="1"/>
  <c r="AX17" s="1"/>
  <c r="T17"/>
  <c r="Y17" s="1"/>
  <c r="AL17" s="1"/>
  <c r="AT17" s="1"/>
  <c r="AY17" s="1"/>
  <c r="Q17"/>
  <c r="V17" s="1"/>
  <c r="AI17" s="1"/>
  <c r="AQ17" s="1"/>
  <c r="AV17" s="1"/>
  <c r="R7"/>
  <c r="W7" s="1"/>
  <c r="AJ7" s="1"/>
  <c r="AR7" s="1"/>
  <c r="AW7" s="1"/>
  <c r="S7"/>
  <c r="X7" s="1"/>
  <c r="AK7" s="1"/>
  <c r="AS7" s="1"/>
  <c r="AX7" s="1"/>
  <c r="T7"/>
  <c r="Y7" s="1"/>
  <c r="AL7" s="1"/>
  <c r="AT7" s="1"/>
  <c r="AY7" s="1"/>
  <c r="Q7"/>
  <c r="V7" s="1"/>
  <c r="AI7" s="1"/>
  <c r="AQ7" s="1"/>
  <c r="AV7" s="1"/>
  <c r="I33"/>
  <c r="I34" s="1"/>
  <c r="I35" s="1"/>
  <c r="I28"/>
  <c r="I29" s="1"/>
  <c r="AR14" i="3" l="1"/>
  <c r="AN15"/>
  <c r="AR15" s="1"/>
  <c r="AQ14"/>
  <c r="AQ15" s="1"/>
  <c r="AQ13"/>
  <c r="AR7"/>
  <c r="AR13"/>
  <c r="AF8"/>
  <c r="AD13"/>
  <c r="AF7"/>
  <c r="AE13"/>
  <c r="AE14" s="1"/>
  <c r="AE15" s="1"/>
  <c r="AB15"/>
  <c r="H7" i="6"/>
  <c r="J7"/>
  <c r="K7"/>
  <c r="B16" i="5"/>
  <c r="AF13" i="3" l="1"/>
  <c r="AD14"/>
  <c r="Q12" i="5"/>
  <c r="V12" s="1"/>
  <c r="AI12" s="1"/>
  <c r="AQ12" s="1"/>
  <c r="AV12" s="1"/>
  <c r="L12"/>
  <c r="T12" s="1"/>
  <c r="Y12" s="1"/>
  <c r="AL12" s="1"/>
  <c r="AT12" s="1"/>
  <c r="AY12" s="1"/>
  <c r="K12"/>
  <c r="S12" s="1"/>
  <c r="X12" s="1"/>
  <c r="AK12" s="1"/>
  <c r="AS12" s="1"/>
  <c r="AX12" s="1"/>
  <c r="J12"/>
  <c r="R12" s="1"/>
  <c r="W12" s="1"/>
  <c r="AJ12" s="1"/>
  <c r="AR12" s="1"/>
  <c r="AW12" s="1"/>
  <c r="I23"/>
  <c r="AD15" i="3" l="1"/>
  <c r="AF15" s="1"/>
  <c r="AF14"/>
  <c r="AC16" i="14"/>
  <c r="AB16"/>
  <c r="AA16"/>
  <c r="W16"/>
  <c r="V16"/>
  <c r="U16"/>
  <c r="T16"/>
  <c r="R16"/>
  <c r="Q16"/>
  <c r="P16"/>
  <c r="O16"/>
  <c r="K16"/>
  <c r="J16"/>
  <c r="I16"/>
  <c r="H16"/>
  <c r="F16"/>
  <c r="E16"/>
  <c r="D16"/>
  <c r="N13"/>
  <c r="Z13" s="1"/>
  <c r="AN13" s="1"/>
  <c r="M13"/>
  <c r="Y13" s="1"/>
  <c r="AM13" s="1"/>
  <c r="Z12"/>
  <c r="N12"/>
  <c r="Z11"/>
  <c r="Y11"/>
  <c r="N11"/>
  <c r="M11"/>
  <c r="Z10"/>
  <c r="Y10"/>
  <c r="N10"/>
  <c r="M10"/>
  <c r="Z9"/>
  <c r="Y9"/>
  <c r="N9"/>
  <c r="M9"/>
  <c r="Z8"/>
  <c r="Y8"/>
  <c r="N8"/>
  <c r="M8"/>
  <c r="Z7"/>
  <c r="Y7"/>
  <c r="N7"/>
  <c r="M7"/>
  <c r="Z6"/>
  <c r="Y6"/>
  <c r="N6"/>
  <c r="M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AA3"/>
  <c r="T3"/>
  <c r="O3"/>
  <c r="H3"/>
  <c r="C3"/>
  <c r="AL40" i="13"/>
  <c r="AK40"/>
  <c r="Z40"/>
  <c r="Y40"/>
  <c r="N40"/>
  <c r="M40"/>
  <c r="AL39"/>
  <c r="AK39"/>
  <c r="Z39"/>
  <c r="Y39"/>
  <c r="N39"/>
  <c r="M39"/>
  <c r="AL38"/>
  <c r="AK38"/>
  <c r="Z38"/>
  <c r="Y38"/>
  <c r="N38"/>
  <c r="M38"/>
  <c r="AV37"/>
  <c r="AU37"/>
  <c r="AT37"/>
  <c r="AS37"/>
  <c r="AR37"/>
  <c r="AQ37"/>
  <c r="AP37"/>
  <c r="AO37"/>
  <c r="AN37"/>
  <c r="AL37"/>
  <c r="AJ37"/>
  <c r="AI37"/>
  <c r="AH37"/>
  <c r="AG37"/>
  <c r="AF37"/>
  <c r="AE37"/>
  <c r="AD37"/>
  <c r="AC37"/>
  <c r="AB37"/>
  <c r="Z37"/>
  <c r="X37"/>
  <c r="V37"/>
  <c r="T37"/>
  <c r="S37"/>
  <c r="U37" s="1"/>
  <c r="W37" s="1"/>
  <c r="R37"/>
  <c r="Q37"/>
  <c r="P37"/>
  <c r="N37"/>
  <c r="L37"/>
  <c r="AV36"/>
  <c r="AU36"/>
  <c r="AT36"/>
  <c r="AS36"/>
  <c r="AR36"/>
  <c r="AQ36"/>
  <c r="AP36"/>
  <c r="AO36"/>
  <c r="AN36"/>
  <c r="AL36"/>
  <c r="AJ36"/>
  <c r="AI36"/>
  <c r="AH36"/>
  <c r="AG36"/>
  <c r="AF36"/>
  <c r="AE36"/>
  <c r="AD36"/>
  <c r="AC36"/>
  <c r="AB36"/>
  <c r="Z36"/>
  <c r="X36"/>
  <c r="V36"/>
  <c r="T36"/>
  <c r="S36"/>
  <c r="U36" s="1"/>
  <c r="W36" s="1"/>
  <c r="R36"/>
  <c r="Q36"/>
  <c r="P36"/>
  <c r="N36"/>
  <c r="L36"/>
  <c r="J36"/>
  <c r="H36"/>
  <c r="G36"/>
  <c r="I36" s="1"/>
  <c r="K36" s="1"/>
  <c r="F36"/>
  <c r="E36"/>
  <c r="D36"/>
  <c r="AV35"/>
  <c r="AU35"/>
  <c r="AT35"/>
  <c r="AS35"/>
  <c r="AR35"/>
  <c r="AQ35"/>
  <c r="AP35"/>
  <c r="AO35"/>
  <c r="AN35"/>
  <c r="AL35"/>
  <c r="AJ35"/>
  <c r="AI35"/>
  <c r="AH35"/>
  <c r="AG35"/>
  <c r="AF35"/>
  <c r="AE35"/>
  <c r="AD35"/>
  <c r="AC35"/>
  <c r="AB35"/>
  <c r="Z35"/>
  <c r="X35"/>
  <c r="V35"/>
  <c r="T35"/>
  <c r="S35"/>
  <c r="U35" s="1"/>
  <c r="R35"/>
  <c r="Q35"/>
  <c r="P35"/>
  <c r="N35"/>
  <c r="L35"/>
  <c r="J35"/>
  <c r="H35"/>
  <c r="G35"/>
  <c r="I35" s="1"/>
  <c r="K35" s="1"/>
  <c r="F35"/>
  <c r="E35"/>
  <c r="D35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V34"/>
  <c r="T34"/>
  <c r="S34"/>
  <c r="R34"/>
  <c r="Q34"/>
  <c r="P34"/>
  <c r="O34"/>
  <c r="N34"/>
  <c r="M34"/>
  <c r="J34"/>
  <c r="H34"/>
  <c r="AU33"/>
  <c r="AT33"/>
  <c r="AS33"/>
  <c r="AR33"/>
  <c r="AP33"/>
  <c r="AO33"/>
  <c r="AN33"/>
  <c r="AM33"/>
  <c r="AL33"/>
  <c r="AI33"/>
  <c r="AH33"/>
  <c r="AG33"/>
  <c r="AF33"/>
  <c r="AJ33" s="1"/>
  <c r="AD33"/>
  <c r="AC33"/>
  <c r="AB33"/>
  <c r="AA33"/>
  <c r="AE33" s="1"/>
  <c r="Z33"/>
  <c r="W33"/>
  <c r="V33"/>
  <c r="U33"/>
  <c r="T33"/>
  <c r="R33"/>
  <c r="Q33"/>
  <c r="P33"/>
  <c r="O33"/>
  <c r="N33"/>
  <c r="K33"/>
  <c r="J33"/>
  <c r="I33"/>
  <c r="H33"/>
  <c r="F33"/>
  <c r="E33"/>
  <c r="D33"/>
  <c r="C33"/>
  <c r="AU32"/>
  <c r="AT32"/>
  <c r="AS32"/>
  <c r="AR32"/>
  <c r="AP32"/>
  <c r="AO32"/>
  <c r="AN32"/>
  <c r="AM32"/>
  <c r="AL32"/>
  <c r="AI32"/>
  <c r="AI30" s="1"/>
  <c r="AI38" s="1"/>
  <c r="AH32"/>
  <c r="AG32"/>
  <c r="AF32"/>
  <c r="AD32"/>
  <c r="AC32"/>
  <c r="AB32"/>
  <c r="AA32"/>
  <c r="Z32"/>
  <c r="W32"/>
  <c r="V32"/>
  <c r="U32"/>
  <c r="T32"/>
  <c r="X32" s="1"/>
  <c r="R32"/>
  <c r="Q32"/>
  <c r="P32"/>
  <c r="O32"/>
  <c r="S32" s="1"/>
  <c r="N32"/>
  <c r="K32"/>
  <c r="J32"/>
  <c r="I32"/>
  <c r="H32"/>
  <c r="F32"/>
  <c r="E32"/>
  <c r="D32"/>
  <c r="C32"/>
  <c r="AU31"/>
  <c r="AT31"/>
  <c r="AS31"/>
  <c r="AS30" s="1"/>
  <c r="AS38" s="1"/>
  <c r="AR31"/>
  <c r="AP31"/>
  <c r="AO31"/>
  <c r="AN31"/>
  <c r="AM31"/>
  <c r="AL31"/>
  <c r="AI31"/>
  <c r="AH31"/>
  <c r="AG31"/>
  <c r="AG30" s="1"/>
  <c r="AG38" s="1"/>
  <c r="AF31"/>
  <c r="AD31"/>
  <c r="AC31"/>
  <c r="AC30" s="1"/>
  <c r="AC38" s="1"/>
  <c r="AB31"/>
  <c r="AB30" s="1"/>
  <c r="AB38" s="1"/>
  <c r="AA31"/>
  <c r="Z31"/>
  <c r="N31"/>
  <c r="AL30"/>
  <c r="AK30"/>
  <c r="Z30"/>
  <c r="Y30"/>
  <c r="N30"/>
  <c r="M30"/>
  <c r="AK29"/>
  <c r="Y29"/>
  <c r="M29"/>
  <c r="AK28"/>
  <c r="Y28"/>
  <c r="M28"/>
  <c r="AL27"/>
  <c r="AK27"/>
  <c r="Z27"/>
  <c r="Y27"/>
  <c r="N27"/>
  <c r="M27"/>
  <c r="AU26"/>
  <c r="AT26"/>
  <c r="AS26"/>
  <c r="AR26"/>
  <c r="AP26"/>
  <c r="AO26"/>
  <c r="AN26"/>
  <c r="AM26"/>
  <c r="AL26"/>
  <c r="AI26"/>
  <c r="AH26"/>
  <c r="AG26"/>
  <c r="AF26"/>
  <c r="AD26"/>
  <c r="AC26"/>
  <c r="AB26"/>
  <c r="AA26"/>
  <c r="Z26"/>
  <c r="N26"/>
  <c r="AU25"/>
  <c r="AU24" s="1"/>
  <c r="AT25"/>
  <c r="AS25"/>
  <c r="AR25"/>
  <c r="AP25"/>
  <c r="AO25"/>
  <c r="AN25"/>
  <c r="AM25"/>
  <c r="AL25"/>
  <c r="AI25"/>
  <c r="AH25"/>
  <c r="AH24" s="1"/>
  <c r="AG25"/>
  <c r="AF25"/>
  <c r="AF24" s="1"/>
  <c r="AD25"/>
  <c r="AC25"/>
  <c r="AB25"/>
  <c r="AA25"/>
  <c r="Z25"/>
  <c r="W25"/>
  <c r="V25"/>
  <c r="U25"/>
  <c r="T25"/>
  <c r="R25"/>
  <c r="Q25"/>
  <c r="P25"/>
  <c r="O25"/>
  <c r="N25"/>
  <c r="K25"/>
  <c r="J25"/>
  <c r="I25"/>
  <c r="H25"/>
  <c r="AL24"/>
  <c r="AK24"/>
  <c r="Z24"/>
  <c r="Y24"/>
  <c r="N24"/>
  <c r="M24"/>
  <c r="AU23"/>
  <c r="AT23"/>
  <c r="AS23"/>
  <c r="AR23"/>
  <c r="AP23"/>
  <c r="AO23"/>
  <c r="AN23"/>
  <c r="AM23"/>
  <c r="AL23"/>
  <c r="AI23"/>
  <c r="AH23"/>
  <c r="AG23"/>
  <c r="AF23"/>
  <c r="AD23"/>
  <c r="AC23"/>
  <c r="AB23"/>
  <c r="AA23"/>
  <c r="Z23"/>
  <c r="W23"/>
  <c r="V23"/>
  <c r="U23"/>
  <c r="T23"/>
  <c r="R23"/>
  <c r="Q23"/>
  <c r="P23"/>
  <c r="O23"/>
  <c r="N23"/>
  <c r="K23"/>
  <c r="J23"/>
  <c r="I23"/>
  <c r="H23"/>
  <c r="F23"/>
  <c r="E23"/>
  <c r="D23"/>
  <c r="C23"/>
  <c r="AL22"/>
  <c r="Z22"/>
  <c r="T22"/>
  <c r="N22"/>
  <c r="L22"/>
  <c r="F22"/>
  <c r="E22"/>
  <c r="D22"/>
  <c r="C22"/>
  <c r="AU21"/>
  <c r="AT21"/>
  <c r="AS21"/>
  <c r="AR21"/>
  <c r="AP21"/>
  <c r="AO21"/>
  <c r="AN21"/>
  <c r="AM21"/>
  <c r="AL21"/>
  <c r="AI21"/>
  <c r="AH21"/>
  <c r="AG21"/>
  <c r="AF21"/>
  <c r="AD21"/>
  <c r="AC21"/>
  <c r="AB21"/>
  <c r="AA21"/>
  <c r="Z21"/>
  <c r="W21"/>
  <c r="V21"/>
  <c r="U21"/>
  <c r="T21"/>
  <c r="R21"/>
  <c r="Q21"/>
  <c r="P21"/>
  <c r="O21"/>
  <c r="N21"/>
  <c r="K21"/>
  <c r="J21"/>
  <c r="I21"/>
  <c r="H21"/>
  <c r="F21"/>
  <c r="E21"/>
  <c r="D21"/>
  <c r="C21"/>
  <c r="AU20"/>
  <c r="AT20"/>
  <c r="AS20"/>
  <c r="AR20"/>
  <c r="AP20"/>
  <c r="AO20"/>
  <c r="AN20"/>
  <c r="AM20"/>
  <c r="AL20"/>
  <c r="AI20"/>
  <c r="AH20"/>
  <c r="AG20"/>
  <c r="AF20"/>
  <c r="AD20"/>
  <c r="AC20"/>
  <c r="AB20"/>
  <c r="AA20"/>
  <c r="Z20"/>
  <c r="N20"/>
  <c r="AL19"/>
  <c r="AK19"/>
  <c r="Z19"/>
  <c r="Y19"/>
  <c r="N19"/>
  <c r="M19"/>
  <c r="AK18"/>
  <c r="Y18"/>
  <c r="M18"/>
  <c r="AL17"/>
  <c r="AK17"/>
  <c r="Z17"/>
  <c r="Y17"/>
  <c r="N17"/>
  <c r="M17"/>
  <c r="AL16"/>
  <c r="Z16"/>
  <c r="N16"/>
  <c r="AL15"/>
  <c r="Z15"/>
  <c r="N15"/>
  <c r="G15"/>
  <c r="AU14"/>
  <c r="AT14"/>
  <c r="AS14"/>
  <c r="AR14"/>
  <c r="AP14"/>
  <c r="AO14"/>
  <c r="AN14"/>
  <c r="AM14"/>
  <c r="AL14"/>
  <c r="AI14"/>
  <c r="AH14"/>
  <c r="AG14"/>
  <c r="AF14"/>
  <c r="AD14"/>
  <c r="AC14"/>
  <c r="AB14"/>
  <c r="AA14"/>
  <c r="Z14"/>
  <c r="W14"/>
  <c r="V14"/>
  <c r="U14"/>
  <c r="T14"/>
  <c r="R14"/>
  <c r="Q14"/>
  <c r="P14"/>
  <c r="O14"/>
  <c r="N14"/>
  <c r="K14"/>
  <c r="J14"/>
  <c r="I14"/>
  <c r="H14"/>
  <c r="F14"/>
  <c r="E14"/>
  <c r="D14"/>
  <c r="C14"/>
  <c r="AL13"/>
  <c r="Z13"/>
  <c r="N13"/>
  <c r="AL12"/>
  <c r="Z12"/>
  <c r="N12"/>
  <c r="AL11"/>
  <c r="AK11"/>
  <c r="Z11"/>
  <c r="Y11"/>
  <c r="N11"/>
  <c r="M11"/>
  <c r="AU10"/>
  <c r="AT10"/>
  <c r="AS10"/>
  <c r="AR10"/>
  <c r="AP10"/>
  <c r="AO10"/>
  <c r="AN10"/>
  <c r="AM10"/>
  <c r="AL10"/>
  <c r="AI10"/>
  <c r="AH10"/>
  <c r="AG10"/>
  <c r="AF10"/>
  <c r="AD10"/>
  <c r="AC10"/>
  <c r="AB10"/>
  <c r="AA10"/>
  <c r="Z10"/>
  <c r="W10"/>
  <c r="V10"/>
  <c r="U10"/>
  <c r="T10"/>
  <c r="R10"/>
  <c r="Q10"/>
  <c r="P10"/>
  <c r="O10"/>
  <c r="N10"/>
  <c r="K10"/>
  <c r="J10"/>
  <c r="I10"/>
  <c r="H10"/>
  <c r="F10"/>
  <c r="E10"/>
  <c r="D10"/>
  <c r="C10"/>
  <c r="AL9"/>
  <c r="Z9"/>
  <c r="T9"/>
  <c r="N9"/>
  <c r="F9"/>
  <c r="E9"/>
  <c r="D9"/>
  <c r="C9"/>
  <c r="G9" s="1"/>
  <c r="AL8"/>
  <c r="Z8"/>
  <c r="N8"/>
  <c r="AL7"/>
  <c r="AK7"/>
  <c r="Z7"/>
  <c r="Y7"/>
  <c r="N7"/>
  <c r="M7"/>
  <c r="AK6"/>
  <c r="Y6"/>
  <c r="M6"/>
  <c r="AV5"/>
  <c r="AU5"/>
  <c r="AT5"/>
  <c r="AS5"/>
  <c r="AR5"/>
  <c r="AQ5"/>
  <c r="AP5"/>
  <c r="AO5"/>
  <c r="AN5"/>
  <c r="AM5"/>
  <c r="AJ5"/>
  <c r="AI5"/>
  <c r="AH5"/>
  <c r="AG5"/>
  <c r="AF5"/>
  <c r="AE5"/>
  <c r="X5"/>
  <c r="S5"/>
  <c r="R5"/>
  <c r="Q5"/>
  <c r="P5"/>
  <c r="O5"/>
  <c r="L5"/>
  <c r="K5"/>
  <c r="J5"/>
  <c r="I5"/>
  <c r="H5"/>
  <c r="G5"/>
  <c r="F5"/>
  <c r="E5"/>
  <c r="D5"/>
  <c r="AR3"/>
  <c r="AM3"/>
  <c r="AF3"/>
  <c r="AA3"/>
  <c r="T3"/>
  <c r="O3"/>
  <c r="H3"/>
  <c r="C3"/>
  <c r="M2"/>
  <c r="AL17" i="12"/>
  <c r="AK17"/>
  <c r="Z17"/>
  <c r="Y17"/>
  <c r="N17"/>
  <c r="M17"/>
  <c r="AL16"/>
  <c r="AK16"/>
  <c r="Z16"/>
  <c r="Y16"/>
  <c r="N16"/>
  <c r="M16"/>
  <c r="AL15"/>
  <c r="Z15"/>
  <c r="N15"/>
  <c r="M15"/>
  <c r="AV14"/>
  <c r="AU14"/>
  <c r="AT14"/>
  <c r="AS14"/>
  <c r="AR14"/>
  <c r="AQ14"/>
  <c r="AP14"/>
  <c r="AO14"/>
  <c r="AN14"/>
  <c r="AM14"/>
  <c r="AL14"/>
  <c r="AJ14"/>
  <c r="AI14"/>
  <c r="AH14"/>
  <c r="AG14"/>
  <c r="AF14"/>
  <c r="AE14"/>
  <c r="AD14"/>
  <c r="AC14"/>
  <c r="AB14"/>
  <c r="AA14"/>
  <c r="Z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V13"/>
  <c r="AU13"/>
  <c r="AT13"/>
  <c r="AS13"/>
  <c r="AR13"/>
  <c r="AQ13"/>
  <c r="AP13"/>
  <c r="AO13"/>
  <c r="AN13"/>
  <c r="AM13"/>
  <c r="AL13"/>
  <c r="AJ13"/>
  <c r="AI13"/>
  <c r="AH13"/>
  <c r="AG13"/>
  <c r="AF13"/>
  <c r="AE13"/>
  <c r="AD13"/>
  <c r="AC13"/>
  <c r="AB13"/>
  <c r="AA13"/>
  <c r="Z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V12"/>
  <c r="AQ12"/>
  <c r="AL12"/>
  <c r="AK12"/>
  <c r="AJ12"/>
  <c r="AE12"/>
  <c r="Z12"/>
  <c r="Y12"/>
  <c r="X12"/>
  <c r="S12"/>
  <c r="N12"/>
  <c r="M12"/>
  <c r="L12"/>
  <c r="G12"/>
  <c r="AL11"/>
  <c r="AK11"/>
  <c r="Z11"/>
  <c r="Y11"/>
  <c r="N11"/>
  <c r="M11"/>
  <c r="AL10"/>
  <c r="AK10"/>
  <c r="Z10"/>
  <c r="Y10"/>
  <c r="N10"/>
  <c r="M10"/>
  <c r="AL9"/>
  <c r="AK9"/>
  <c r="Z9"/>
  <c r="Y9"/>
  <c r="N9"/>
  <c r="M9"/>
  <c r="AL8"/>
  <c r="AK8"/>
  <c r="Z8"/>
  <c r="Y8"/>
  <c r="N8"/>
  <c r="M8"/>
  <c r="AL7"/>
  <c r="AK7"/>
  <c r="Z7"/>
  <c r="Y7"/>
  <c r="N7"/>
  <c r="M7"/>
  <c r="AL6"/>
  <c r="AK6"/>
  <c r="Z6"/>
  <c r="Y6"/>
  <c r="N6"/>
  <c r="M6"/>
  <c r="AV5"/>
  <c r="AU5"/>
  <c r="AT5"/>
  <c r="AS5"/>
  <c r="AR5"/>
  <c r="AQ5"/>
  <c r="AP5"/>
  <c r="AO5"/>
  <c r="AN5"/>
  <c r="AM5"/>
  <c r="AJ5"/>
  <c r="AI5"/>
  <c r="AH5"/>
  <c r="AG5"/>
  <c r="AF5"/>
  <c r="AE5"/>
  <c r="X5"/>
  <c r="S5"/>
  <c r="R5"/>
  <c r="Q5"/>
  <c r="P5"/>
  <c r="O5"/>
  <c r="L5"/>
  <c r="K5"/>
  <c r="J5"/>
  <c r="I5"/>
  <c r="H5"/>
  <c r="G5"/>
  <c r="F5"/>
  <c r="E5"/>
  <c r="D5"/>
  <c r="AR3"/>
  <c r="AM3"/>
  <c r="AF3"/>
  <c r="AA3"/>
  <c r="T3"/>
  <c r="O3"/>
  <c r="H3"/>
  <c r="C3"/>
  <c r="AL20" i="11"/>
  <c r="Z20"/>
  <c r="N20"/>
  <c r="AL19"/>
  <c r="Z19"/>
  <c r="N19"/>
  <c r="AL18"/>
  <c r="Z18"/>
  <c r="N18"/>
  <c r="AL17"/>
  <c r="AK17"/>
  <c r="Z17"/>
  <c r="Y17"/>
  <c r="N17"/>
  <c r="M17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L15"/>
  <c r="AK15"/>
  <c r="Z15"/>
  <c r="Y15"/>
  <c r="N15"/>
  <c r="M15"/>
  <c r="H15"/>
  <c r="G15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S14"/>
  <c r="N14"/>
  <c r="M14"/>
  <c r="L14"/>
  <c r="G14"/>
  <c r="AL13"/>
  <c r="AK13"/>
  <c r="Z13"/>
  <c r="Y13"/>
  <c r="N13"/>
  <c r="M13"/>
  <c r="AL12"/>
  <c r="AK12"/>
  <c r="Z12"/>
  <c r="Y12"/>
  <c r="N12"/>
  <c r="M12"/>
  <c r="AL11"/>
  <c r="AK11"/>
  <c r="Z11"/>
  <c r="Y11"/>
  <c r="N11"/>
  <c r="M11"/>
  <c r="AL10"/>
  <c r="AK10"/>
  <c r="Z10"/>
  <c r="Y10"/>
  <c r="N10"/>
  <c r="M10"/>
  <c r="AU9"/>
  <c r="AU9" i="13" s="1"/>
  <c r="AT9" i="11"/>
  <c r="AT22" i="13" s="1"/>
  <c r="AS9" i="11"/>
  <c r="AS22" i="13" s="1"/>
  <c r="AR9" i="11"/>
  <c r="AR22" i="13" s="1"/>
  <c r="AP9" i="11"/>
  <c r="AP22" i="13" s="1"/>
  <c r="AO9" i="11"/>
  <c r="AO22" i="13" s="1"/>
  <c r="AN9" i="11"/>
  <c r="AN22" i="13" s="1"/>
  <c r="AN19" s="1"/>
  <c r="AM9" i="11"/>
  <c r="AM9" i="13" s="1"/>
  <c r="AL9" i="11"/>
  <c r="AI9"/>
  <c r="AI22" i="13" s="1"/>
  <c r="AH9" i="11"/>
  <c r="AH22" i="13" s="1"/>
  <c r="AG9" i="11"/>
  <c r="AG22" i="13" s="1"/>
  <c r="AF9" i="11"/>
  <c r="AF9" i="13" s="1"/>
  <c r="Z9" i="11"/>
  <c r="N9"/>
  <c r="G9"/>
  <c r="AL8"/>
  <c r="Z8"/>
  <c r="N8"/>
  <c r="AL7"/>
  <c r="Z7"/>
  <c r="N7"/>
  <c r="AL6"/>
  <c r="AK6"/>
  <c r="Z6"/>
  <c r="Y6"/>
  <c r="N6"/>
  <c r="M6"/>
  <c r="AV5"/>
  <c r="AU5"/>
  <c r="AT5"/>
  <c r="AS5"/>
  <c r="AR5"/>
  <c r="AQ5"/>
  <c r="AP5"/>
  <c r="AO5"/>
  <c r="AN5"/>
  <c r="AM5"/>
  <c r="AL5"/>
  <c r="AJ5"/>
  <c r="AI5"/>
  <c r="AH5"/>
  <c r="AG5"/>
  <c r="AF5"/>
  <c r="AE5"/>
  <c r="AD5"/>
  <c r="AC5"/>
  <c r="AB5"/>
  <c r="AA5"/>
  <c r="Z5"/>
  <c r="X5"/>
  <c r="W5"/>
  <c r="V5"/>
  <c r="U5"/>
  <c r="T5"/>
  <c r="S5"/>
  <c r="R5"/>
  <c r="Q5"/>
  <c r="P5"/>
  <c r="O5"/>
  <c r="AR3"/>
  <c r="AM3"/>
  <c r="AF3"/>
  <c r="AA3"/>
  <c r="T3"/>
  <c r="O3"/>
  <c r="H3"/>
  <c r="C3"/>
  <c r="D20" i="10"/>
  <c r="AO16"/>
  <c r="AB16"/>
  <c r="O16"/>
  <c r="AO15"/>
  <c r="AB15"/>
  <c r="O15"/>
  <c r="B15"/>
  <c r="AO14"/>
  <c r="AB14"/>
  <c r="O14"/>
  <c r="B14"/>
  <c r="AO13"/>
  <c r="AB13"/>
  <c r="O13"/>
  <c r="B13"/>
  <c r="AO12"/>
  <c r="AB12"/>
  <c r="O12"/>
  <c r="B12"/>
  <c r="AO11"/>
  <c r="AB11"/>
  <c r="O11"/>
  <c r="AO10"/>
  <c r="AB10"/>
  <c r="O10"/>
  <c r="H10"/>
  <c r="G10"/>
  <c r="F10"/>
  <c r="E10"/>
  <c r="AO9"/>
  <c r="AB9"/>
  <c r="O9"/>
  <c r="I9"/>
  <c r="J9" s="1"/>
  <c r="K9" s="1"/>
  <c r="L9" s="1"/>
  <c r="M9" s="1"/>
  <c r="Q9" s="1"/>
  <c r="R9" s="1"/>
  <c r="S9" s="1"/>
  <c r="T9" s="1"/>
  <c r="U9" s="1"/>
  <c r="V9" s="1"/>
  <c r="W9" s="1"/>
  <c r="X9" s="1"/>
  <c r="Y9" s="1"/>
  <c r="Z9" s="1"/>
  <c r="AD9" s="1"/>
  <c r="AE9" s="1"/>
  <c r="AF9" s="1"/>
  <c r="AG9" s="1"/>
  <c r="AH9" s="1"/>
  <c r="AI9" s="1"/>
  <c r="AJ9" s="1"/>
  <c r="AK9" s="1"/>
  <c r="AL9" s="1"/>
  <c r="AM9" s="1"/>
  <c r="AQ9" s="1"/>
  <c r="AR9" s="1"/>
  <c r="AS9" s="1"/>
  <c r="AT9" s="1"/>
  <c r="AU9" s="1"/>
  <c r="AV9" s="1"/>
  <c r="AW9" s="1"/>
  <c r="AX9" s="1"/>
  <c r="AY9" s="1"/>
  <c r="AZ9" s="1"/>
  <c r="H9"/>
  <c r="G9"/>
  <c r="F9"/>
  <c r="E9"/>
  <c r="AO8"/>
  <c r="AB8"/>
  <c r="O8"/>
  <c r="H8"/>
  <c r="G8"/>
  <c r="F8"/>
  <c r="E8"/>
  <c r="AO7"/>
  <c r="AB7"/>
  <c r="O7"/>
  <c r="H7"/>
  <c r="G7"/>
  <c r="F7"/>
  <c r="E7"/>
  <c r="AO6"/>
  <c r="AB6"/>
  <c r="O6"/>
  <c r="H6"/>
  <c r="G6"/>
  <c r="F6"/>
  <c r="E6"/>
  <c r="D6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AV3"/>
  <c r="AQ3"/>
  <c r="AI3"/>
  <c r="AD3"/>
  <c r="V3"/>
  <c r="Q3"/>
  <c r="I3"/>
  <c r="D3"/>
  <c r="D7" i="9"/>
  <c r="E7" s="1"/>
  <c r="AL31" i="8"/>
  <c r="AK31"/>
  <c r="Z31"/>
  <c r="Y31"/>
  <c r="N31"/>
  <c r="M31"/>
  <c r="AL30"/>
  <c r="AK30"/>
  <c r="Z30"/>
  <c r="Y30"/>
  <c r="N30"/>
  <c r="M30"/>
  <c r="AL29"/>
  <c r="Z29"/>
  <c r="N29"/>
  <c r="AL28"/>
  <c r="Z28"/>
  <c r="N28"/>
  <c r="AL27"/>
  <c r="AK27"/>
  <c r="Z27"/>
  <c r="Y27"/>
  <c r="N27"/>
  <c r="M27"/>
  <c r="AL26"/>
  <c r="Z26"/>
  <c r="N26"/>
  <c r="G26"/>
  <c r="AL25"/>
  <c r="Z25"/>
  <c r="N25"/>
  <c r="AL24"/>
  <c r="Z24"/>
  <c r="N24"/>
  <c r="AL23"/>
  <c r="AK23"/>
  <c r="Z23"/>
  <c r="Y23"/>
  <c r="N23"/>
  <c r="M23"/>
  <c r="AL22"/>
  <c r="Z22"/>
  <c r="N22"/>
  <c r="AL21"/>
  <c r="Z21"/>
  <c r="N21"/>
  <c r="AL20"/>
  <c r="Z20"/>
  <c r="N20"/>
  <c r="AL19"/>
  <c r="Z19"/>
  <c r="S19"/>
  <c r="T19" s="1"/>
  <c r="R19"/>
  <c r="Q19"/>
  <c r="P19"/>
  <c r="N19"/>
  <c r="G19"/>
  <c r="H19" s="1"/>
  <c r="F19"/>
  <c r="E19"/>
  <c r="D19"/>
  <c r="AK18"/>
  <c r="Y18"/>
  <c r="N18"/>
  <c r="Z18" s="1"/>
  <c r="AL18" s="1"/>
  <c r="M18"/>
  <c r="AK17"/>
  <c r="Y17"/>
  <c r="N17"/>
  <c r="Z17" s="1"/>
  <c r="AL17" s="1"/>
  <c r="M17"/>
  <c r="AK16"/>
  <c r="Y16"/>
  <c r="M16"/>
  <c r="B16"/>
  <c r="N16" s="1"/>
  <c r="Z16" s="1"/>
  <c r="AL16" s="1"/>
  <c r="AK15"/>
  <c r="Y15"/>
  <c r="M15"/>
  <c r="B15"/>
  <c r="N15" s="1"/>
  <c r="Z15" s="1"/>
  <c r="AL15" s="1"/>
  <c r="AK14"/>
  <c r="Y14"/>
  <c r="M14"/>
  <c r="B14"/>
  <c r="N14" s="1"/>
  <c r="Z14" s="1"/>
  <c r="AL14" s="1"/>
  <c r="AK13"/>
  <c r="Y13"/>
  <c r="M13"/>
  <c r="B13"/>
  <c r="N13" s="1"/>
  <c r="Z13" s="1"/>
  <c r="AL13" s="1"/>
  <c r="AK12"/>
  <c r="Y12"/>
  <c r="M12"/>
  <c r="N12"/>
  <c r="Z12" s="1"/>
  <c r="AL12" s="1"/>
  <c r="M11"/>
  <c r="Y11" s="1"/>
  <c r="AK11" s="1"/>
  <c r="N11"/>
  <c r="Z11" s="1"/>
  <c r="AL11" s="1"/>
  <c r="M10"/>
  <c r="Y10" s="1"/>
  <c r="AK10" s="1"/>
  <c r="B10"/>
  <c r="N10" s="1"/>
  <c r="Z10" s="1"/>
  <c r="AL10" s="1"/>
  <c r="M9"/>
  <c r="Y9" s="1"/>
  <c r="AK9" s="1"/>
  <c r="B9"/>
  <c r="N9" s="1"/>
  <c r="Z9" s="1"/>
  <c r="AL9" s="1"/>
  <c r="M8"/>
  <c r="Y8" s="1"/>
  <c r="AK8" s="1"/>
  <c r="B8"/>
  <c r="N8" s="1"/>
  <c r="Z8" s="1"/>
  <c r="AL8" s="1"/>
  <c r="M7"/>
  <c r="Y7" s="1"/>
  <c r="AK7" s="1"/>
  <c r="B7"/>
  <c r="N7" s="1"/>
  <c r="Z7" s="1"/>
  <c r="AL7" s="1"/>
  <c r="N6"/>
  <c r="Z6" s="1"/>
  <c r="AL6" s="1"/>
  <c r="M6"/>
  <c r="Y6" s="1"/>
  <c r="AK6" s="1"/>
  <c r="AV5"/>
  <c r="AU5"/>
  <c r="AT5"/>
  <c r="AS5"/>
  <c r="AR5"/>
  <c r="AQ5"/>
  <c r="AP5"/>
  <c r="AO5"/>
  <c r="AN5"/>
  <c r="AM5"/>
  <c r="AJ5"/>
  <c r="AI5"/>
  <c r="AH5"/>
  <c r="AG5"/>
  <c r="AF5"/>
  <c r="AE5"/>
  <c r="AD5"/>
  <c r="AC5"/>
  <c r="AB5"/>
  <c r="AA5"/>
  <c r="X5"/>
  <c r="W5"/>
  <c r="V5"/>
  <c r="U5"/>
  <c r="T5"/>
  <c r="S5"/>
  <c r="R5"/>
  <c r="Q5"/>
  <c r="P5"/>
  <c r="O5"/>
  <c r="L5"/>
  <c r="K5"/>
  <c r="J5"/>
  <c r="I5"/>
  <c r="H5"/>
  <c r="G5"/>
  <c r="F5"/>
  <c r="E5"/>
  <c r="D5"/>
  <c r="AR3"/>
  <c r="AM3"/>
  <c r="AF3"/>
  <c r="AA3"/>
  <c r="T3"/>
  <c r="O3"/>
  <c r="H3"/>
  <c r="C3"/>
  <c r="G137" i="7"/>
  <c r="F137"/>
  <c r="F136"/>
  <c r="F135"/>
  <c r="G134"/>
  <c r="F134"/>
  <c r="F133"/>
  <c r="F132"/>
  <c r="F131"/>
  <c r="F130"/>
  <c r="F129"/>
  <c r="F128"/>
  <c r="F127"/>
  <c r="F126"/>
  <c r="F125"/>
  <c r="B125"/>
  <c r="G124"/>
  <c r="F124"/>
  <c r="F123"/>
  <c r="F122"/>
  <c r="G121"/>
  <c r="F121"/>
  <c r="F120"/>
  <c r="F119"/>
  <c r="F118"/>
  <c r="F117"/>
  <c r="F116"/>
  <c r="F115"/>
  <c r="F114"/>
  <c r="F113"/>
  <c r="F112"/>
  <c r="B112"/>
  <c r="G111"/>
  <c r="F111"/>
  <c r="F110"/>
  <c r="F109"/>
  <c r="G108"/>
  <c r="F108"/>
  <c r="F107"/>
  <c r="F106"/>
  <c r="F105"/>
  <c r="F104"/>
  <c r="F103"/>
  <c r="F102"/>
  <c r="F101"/>
  <c r="F100"/>
  <c r="F99"/>
  <c r="B99"/>
  <c r="G98"/>
  <c r="F98"/>
  <c r="F97"/>
  <c r="F96"/>
  <c r="G95"/>
  <c r="F95"/>
  <c r="F94"/>
  <c r="F93"/>
  <c r="F92"/>
  <c r="F91"/>
  <c r="F90"/>
  <c r="F89"/>
  <c r="F88"/>
  <c r="F87"/>
  <c r="F86"/>
  <c r="B86"/>
  <c r="G85"/>
  <c r="F84"/>
  <c r="F83"/>
  <c r="G82"/>
  <c r="F82"/>
  <c r="F80"/>
  <c r="F79"/>
  <c r="F78"/>
  <c r="F77"/>
  <c r="F76"/>
  <c r="F75"/>
  <c r="F74" s="1"/>
  <c r="F71"/>
  <c r="F70"/>
  <c r="F69"/>
  <c r="G69" s="1"/>
  <c r="F68"/>
  <c r="F67"/>
  <c r="F66"/>
  <c r="F65"/>
  <c r="F64"/>
  <c r="F63"/>
  <c r="F62"/>
  <c r="F61" s="1"/>
  <c r="F72" s="1"/>
  <c r="G59"/>
  <c r="F58"/>
  <c r="F57"/>
  <c r="F56"/>
  <c r="G56" s="1"/>
  <c r="F55"/>
  <c r="F54"/>
  <c r="F53"/>
  <c r="F52"/>
  <c r="F51"/>
  <c r="F50"/>
  <c r="F49"/>
  <c r="F48" s="1"/>
  <c r="B47"/>
  <c r="G46"/>
  <c r="F45"/>
  <c r="F44"/>
  <c r="F43"/>
  <c r="G43" s="1"/>
  <c r="F42"/>
  <c r="F41"/>
  <c r="F40"/>
  <c r="F39"/>
  <c r="F38"/>
  <c r="F37"/>
  <c r="F36"/>
  <c r="F35" s="1"/>
  <c r="B34"/>
  <c r="G33"/>
  <c r="F32"/>
  <c r="F31"/>
  <c r="G30"/>
  <c r="F30"/>
  <c r="F29"/>
  <c r="F28"/>
  <c r="F27"/>
  <c r="F26"/>
  <c r="F25"/>
  <c r="F24"/>
  <c r="F23"/>
  <c r="F22" s="1"/>
  <c r="B21"/>
  <c r="G20"/>
  <c r="F19"/>
  <c r="F18"/>
  <c r="F17"/>
  <c r="F16"/>
  <c r="J15"/>
  <c r="F15"/>
  <c r="J14"/>
  <c r="F14"/>
  <c r="J13"/>
  <c r="F13"/>
  <c r="J12"/>
  <c r="F12"/>
  <c r="J11"/>
  <c r="F11"/>
  <c r="J10"/>
  <c r="F10"/>
  <c r="F9" s="1"/>
  <c r="J9"/>
  <c r="J8"/>
  <c r="B8"/>
  <c r="J7"/>
  <c r="AL22" i="6"/>
  <c r="Z22"/>
  <c r="N22"/>
  <c r="AL21"/>
  <c r="Z21"/>
  <c r="N21"/>
  <c r="AL20"/>
  <c r="Z20"/>
  <c r="N20"/>
  <c r="AL19"/>
  <c r="Z19"/>
  <c r="N19"/>
  <c r="AL18"/>
  <c r="Z18"/>
  <c r="N18"/>
  <c r="AL17"/>
  <c r="Z17"/>
  <c r="N17"/>
  <c r="AL16"/>
  <c r="Z16"/>
  <c r="N16"/>
  <c r="AL15"/>
  <c r="Z15"/>
  <c r="N15"/>
  <c r="AL14"/>
  <c r="Z14"/>
  <c r="N14"/>
  <c r="K14"/>
  <c r="J14"/>
  <c r="I14"/>
  <c r="H14"/>
  <c r="F14"/>
  <c r="F15" s="1"/>
  <c r="F13" s="1"/>
  <c r="E14"/>
  <c r="E15" s="1"/>
  <c r="E13" s="1"/>
  <c r="D14"/>
  <c r="D15" s="1"/>
  <c r="D13" s="1"/>
  <c r="C14"/>
  <c r="AL13"/>
  <c r="Z13"/>
  <c r="N13"/>
  <c r="AL12"/>
  <c r="Z12"/>
  <c r="N12"/>
  <c r="AL11"/>
  <c r="Z11"/>
  <c r="N11"/>
  <c r="AL10"/>
  <c r="Z10"/>
  <c r="N10"/>
  <c r="AL9"/>
  <c r="Z9"/>
  <c r="N9"/>
  <c r="K9"/>
  <c r="O9" s="1"/>
  <c r="P9" s="1"/>
  <c r="Q9" s="1"/>
  <c r="R9" s="1"/>
  <c r="T9" s="1"/>
  <c r="U9" s="1"/>
  <c r="V9" s="1"/>
  <c r="W9" s="1"/>
  <c r="AA9" s="1"/>
  <c r="AB9" s="1"/>
  <c r="AC9" s="1"/>
  <c r="AD9" s="1"/>
  <c r="AF9" s="1"/>
  <c r="AG9" s="1"/>
  <c r="AH9" s="1"/>
  <c r="AI9" s="1"/>
  <c r="AM9" s="1"/>
  <c r="AN9" s="1"/>
  <c r="AO9" s="1"/>
  <c r="AP9" s="1"/>
  <c r="AR9" s="1"/>
  <c r="AS9" s="1"/>
  <c r="AT9" s="1"/>
  <c r="AU9" s="1"/>
  <c r="J9"/>
  <c r="H9"/>
  <c r="H6" s="1"/>
  <c r="F9"/>
  <c r="E9"/>
  <c r="D9"/>
  <c r="AL8"/>
  <c r="Z8"/>
  <c r="N8"/>
  <c r="K8"/>
  <c r="O8" s="1"/>
  <c r="J8"/>
  <c r="J6" s="1"/>
  <c r="I8"/>
  <c r="I6" s="1"/>
  <c r="F8"/>
  <c r="E8"/>
  <c r="D8"/>
  <c r="AL7"/>
  <c r="Z7"/>
  <c r="O7"/>
  <c r="O14" s="1"/>
  <c r="N7"/>
  <c r="F7"/>
  <c r="E7"/>
  <c r="D7"/>
  <c r="AL6"/>
  <c r="Z6"/>
  <c r="N6"/>
  <c r="F6"/>
  <c r="E6"/>
  <c r="D6"/>
  <c r="C6"/>
  <c r="AV5"/>
  <c r="AU5"/>
  <c r="AT5"/>
  <c r="AS5"/>
  <c r="AR5"/>
  <c r="AQ5"/>
  <c r="AP5"/>
  <c r="AO5"/>
  <c r="AN5"/>
  <c r="AM5"/>
  <c r="AJ5"/>
  <c r="AI5"/>
  <c r="AH5"/>
  <c r="AG5"/>
  <c r="AF5"/>
  <c r="AE5"/>
  <c r="AD5"/>
  <c r="AC5"/>
  <c r="AB5"/>
  <c r="AA5"/>
  <c r="X5"/>
  <c r="W5"/>
  <c r="V5"/>
  <c r="U5"/>
  <c r="T5"/>
  <c r="S5"/>
  <c r="R5"/>
  <c r="Q5"/>
  <c r="P5"/>
  <c r="O5"/>
  <c r="L5"/>
  <c r="K5"/>
  <c r="J5"/>
  <c r="I5"/>
  <c r="H5"/>
  <c r="G5"/>
  <c r="F5"/>
  <c r="E5"/>
  <c r="D5"/>
  <c r="AR3"/>
  <c r="AM3"/>
  <c r="AF3"/>
  <c r="AA3"/>
  <c r="T3"/>
  <c r="O3"/>
  <c r="H3"/>
  <c r="C3"/>
  <c r="AP58" i="5"/>
  <c r="AO58"/>
  <c r="AC58"/>
  <c r="AB58"/>
  <c r="P58"/>
  <c r="O58"/>
  <c r="AP57"/>
  <c r="AO57"/>
  <c r="AC57"/>
  <c r="AB57"/>
  <c r="P57"/>
  <c r="O57"/>
  <c r="AP56"/>
  <c r="AO56"/>
  <c r="AC56"/>
  <c r="AB56"/>
  <c r="P56"/>
  <c r="O56"/>
  <c r="AP55"/>
  <c r="AO55"/>
  <c r="AC55"/>
  <c r="AB55"/>
  <c r="P55"/>
  <c r="O55"/>
  <c r="AP54"/>
  <c r="AO54"/>
  <c r="AN54"/>
  <c r="AC54"/>
  <c r="AB54"/>
  <c r="AA54"/>
  <c r="P54"/>
  <c r="O54"/>
  <c r="N54"/>
  <c r="AP53"/>
  <c r="AO53"/>
  <c r="AN53"/>
  <c r="AC53"/>
  <c r="AB53"/>
  <c r="AA53"/>
  <c r="P53"/>
  <c r="O53"/>
  <c r="N53"/>
  <c r="D53"/>
  <c r="D54" s="1"/>
  <c r="AZ52"/>
  <c r="AY52"/>
  <c r="AX52"/>
  <c r="AW52"/>
  <c r="AV52"/>
  <c r="AU52"/>
  <c r="AT52"/>
  <c r="AS52"/>
  <c r="AR52"/>
  <c r="AQ52"/>
  <c r="AO52"/>
  <c r="AN52"/>
  <c r="AM52"/>
  <c r="AL52"/>
  <c r="AK52"/>
  <c r="AJ52"/>
  <c r="AI52"/>
  <c r="AH52"/>
  <c r="AG52"/>
  <c r="AF52"/>
  <c r="AE52"/>
  <c r="AB52"/>
  <c r="AA52"/>
  <c r="Z52"/>
  <c r="Y52"/>
  <c r="X52"/>
  <c r="W52"/>
  <c r="V52"/>
  <c r="U52"/>
  <c r="T52"/>
  <c r="S52"/>
  <c r="R52"/>
  <c r="O52"/>
  <c r="N52"/>
  <c r="M52"/>
  <c r="L52"/>
  <c r="K52"/>
  <c r="J52"/>
  <c r="I52"/>
  <c r="H52"/>
  <c r="G52"/>
  <c r="F52"/>
  <c r="E52"/>
  <c r="C52"/>
  <c r="P52" s="1"/>
  <c r="AC52" s="1"/>
  <c r="AP52" s="1"/>
  <c r="B51"/>
  <c r="O51" s="1"/>
  <c r="AB51" s="1"/>
  <c r="AO51" s="1"/>
  <c r="AP50"/>
  <c r="AO50"/>
  <c r="AC50"/>
  <c r="AB50"/>
  <c r="P50"/>
  <c r="O50"/>
  <c r="AP49"/>
  <c r="AO49"/>
  <c r="AN49"/>
  <c r="AC49"/>
  <c r="AB49"/>
  <c r="AA49"/>
  <c r="P49"/>
  <c r="O49"/>
  <c r="N49"/>
  <c r="AP48"/>
  <c r="AO48"/>
  <c r="AN48"/>
  <c r="AC48"/>
  <c r="AB48"/>
  <c r="AA48"/>
  <c r="P48"/>
  <c r="O48"/>
  <c r="N48"/>
  <c r="D48"/>
  <c r="D49" s="1"/>
  <c r="AZ47"/>
  <c r="AY47"/>
  <c r="AX47"/>
  <c r="AW47"/>
  <c r="AV47"/>
  <c r="AU47"/>
  <c r="AT47"/>
  <c r="AS47"/>
  <c r="AR47"/>
  <c r="AQ47"/>
  <c r="AO47"/>
  <c r="AN47"/>
  <c r="AM47"/>
  <c r="AL47"/>
  <c r="AK47"/>
  <c r="AJ47"/>
  <c r="AI47"/>
  <c r="AH47"/>
  <c r="AG47"/>
  <c r="AF47"/>
  <c r="AE47"/>
  <c r="AB47"/>
  <c r="AA47"/>
  <c r="Z47"/>
  <c r="Y47"/>
  <c r="X47"/>
  <c r="W47"/>
  <c r="V47"/>
  <c r="U47"/>
  <c r="T47"/>
  <c r="S47"/>
  <c r="R47"/>
  <c r="O47"/>
  <c r="N47"/>
  <c r="M47"/>
  <c r="L47"/>
  <c r="K47"/>
  <c r="J47"/>
  <c r="I47"/>
  <c r="H47"/>
  <c r="G47"/>
  <c r="F47"/>
  <c r="E47"/>
  <c r="C47"/>
  <c r="P47" s="1"/>
  <c r="AC47" s="1"/>
  <c r="AP47" s="1"/>
  <c r="B46"/>
  <c r="O46" s="1"/>
  <c r="AB46" s="1"/>
  <c r="AO46" s="1"/>
  <c r="AP45"/>
  <c r="AO45"/>
  <c r="AC45"/>
  <c r="AB45"/>
  <c r="P45"/>
  <c r="O45"/>
  <c r="AP44"/>
  <c r="AO44"/>
  <c r="AN44"/>
  <c r="AC44"/>
  <c r="AB44"/>
  <c r="AA44"/>
  <c r="P44"/>
  <c r="O44"/>
  <c r="N44"/>
  <c r="AP43"/>
  <c r="AO43"/>
  <c r="AN43"/>
  <c r="AC43"/>
  <c r="AB43"/>
  <c r="AA43"/>
  <c r="P43"/>
  <c r="O43"/>
  <c r="N43"/>
  <c r="D43"/>
  <c r="D44" s="1"/>
  <c r="AZ42"/>
  <c r="AY42"/>
  <c r="AX42"/>
  <c r="AW42"/>
  <c r="AV42"/>
  <c r="AU42"/>
  <c r="AT42"/>
  <c r="AS42"/>
  <c r="AR42"/>
  <c r="AQ42"/>
  <c r="AO42"/>
  <c r="AN42"/>
  <c r="AM42"/>
  <c r="AL42"/>
  <c r="AK42"/>
  <c r="AJ42"/>
  <c r="AI42"/>
  <c r="AH42"/>
  <c r="AG42"/>
  <c r="AF42"/>
  <c r="AE42"/>
  <c r="AB42"/>
  <c r="AA42"/>
  <c r="Z42"/>
  <c r="Y42"/>
  <c r="X42"/>
  <c r="W42"/>
  <c r="V42"/>
  <c r="U42"/>
  <c r="T42"/>
  <c r="S42"/>
  <c r="R42"/>
  <c r="O42"/>
  <c r="N42"/>
  <c r="M42"/>
  <c r="L42"/>
  <c r="K42"/>
  <c r="J42"/>
  <c r="I42"/>
  <c r="H42"/>
  <c r="G42"/>
  <c r="F42"/>
  <c r="E42"/>
  <c r="C42"/>
  <c r="P42" s="1"/>
  <c r="AC42" s="1"/>
  <c r="AP42" s="1"/>
  <c r="B41"/>
  <c r="O41" s="1"/>
  <c r="AB41" s="1"/>
  <c r="AO41" s="1"/>
  <c r="AP40"/>
  <c r="AO40"/>
  <c r="AC40"/>
  <c r="AB40"/>
  <c r="P40"/>
  <c r="O40"/>
  <c r="AP39"/>
  <c r="AO39"/>
  <c r="AN39"/>
  <c r="AC39"/>
  <c r="AB39"/>
  <c r="AA39"/>
  <c r="P39"/>
  <c r="O39"/>
  <c r="N39"/>
  <c r="AP38"/>
  <c r="AO38"/>
  <c r="AN38"/>
  <c r="AC38"/>
  <c r="AB38"/>
  <c r="AA38"/>
  <c r="P38"/>
  <c r="O38"/>
  <c r="N38"/>
  <c r="D38"/>
  <c r="D39" s="1"/>
  <c r="AZ37"/>
  <c r="AY37"/>
  <c r="AX37"/>
  <c r="AW37"/>
  <c r="AV37"/>
  <c r="AU37"/>
  <c r="AT37"/>
  <c r="AS37"/>
  <c r="AR37"/>
  <c r="AQ37"/>
  <c r="AO37"/>
  <c r="AN37"/>
  <c r="AM37"/>
  <c r="AL37"/>
  <c r="AK37"/>
  <c r="AJ37"/>
  <c r="AI37"/>
  <c r="AH37"/>
  <c r="AG37"/>
  <c r="AF37"/>
  <c r="AE37"/>
  <c r="AB37"/>
  <c r="AA37"/>
  <c r="Z37"/>
  <c r="Y37"/>
  <c r="X37"/>
  <c r="W37"/>
  <c r="V37"/>
  <c r="U37"/>
  <c r="T37"/>
  <c r="S37"/>
  <c r="R37"/>
  <c r="O37"/>
  <c r="N37"/>
  <c r="M37"/>
  <c r="L37"/>
  <c r="K37"/>
  <c r="J37"/>
  <c r="I37"/>
  <c r="H37"/>
  <c r="G37"/>
  <c r="F37"/>
  <c r="E37"/>
  <c r="C37"/>
  <c r="P37" s="1"/>
  <c r="AC37" s="1"/>
  <c r="AP37" s="1"/>
  <c r="B36"/>
  <c r="O36" s="1"/>
  <c r="AB36" s="1"/>
  <c r="AO36" s="1"/>
  <c r="AP35"/>
  <c r="AO35"/>
  <c r="AC35"/>
  <c r="AB35"/>
  <c r="P35"/>
  <c r="O35"/>
  <c r="AP34"/>
  <c r="AO34"/>
  <c r="AN34"/>
  <c r="AC34"/>
  <c r="AB34"/>
  <c r="AA34"/>
  <c r="P34"/>
  <c r="O34"/>
  <c r="N34"/>
  <c r="AP33"/>
  <c r="AO33"/>
  <c r="AN33"/>
  <c r="AC33"/>
  <c r="AB33"/>
  <c r="AA33"/>
  <c r="P33"/>
  <c r="O33"/>
  <c r="N33"/>
  <c r="D33"/>
  <c r="D34" s="1"/>
  <c r="AO32"/>
  <c r="AN32"/>
  <c r="AB32"/>
  <c r="AA32"/>
  <c r="R32"/>
  <c r="O32"/>
  <c r="N32"/>
  <c r="J32"/>
  <c r="I15" i="11" s="1"/>
  <c r="H32" i="5"/>
  <c r="G32"/>
  <c r="F32"/>
  <c r="E32"/>
  <c r="C32"/>
  <c r="P32" s="1"/>
  <c r="AC32" s="1"/>
  <c r="AP32" s="1"/>
  <c r="O31"/>
  <c r="AB31" s="1"/>
  <c r="AO31" s="1"/>
  <c r="AP30"/>
  <c r="AO30"/>
  <c r="AC30"/>
  <c r="AB30"/>
  <c r="P30"/>
  <c r="O30"/>
  <c r="AP29"/>
  <c r="AO29"/>
  <c r="AN29"/>
  <c r="AC29"/>
  <c r="AB29"/>
  <c r="AA29"/>
  <c r="P29"/>
  <c r="O29"/>
  <c r="N29"/>
  <c r="AP28"/>
  <c r="AO28"/>
  <c r="AN28"/>
  <c r="AC28"/>
  <c r="AB28"/>
  <c r="AA28"/>
  <c r="P28"/>
  <c r="O28"/>
  <c r="N28"/>
  <c r="D28"/>
  <c r="D29" s="1"/>
  <c r="AZ27"/>
  <c r="AU27"/>
  <c r="AP27"/>
  <c r="AO27"/>
  <c r="AN27"/>
  <c r="AM27"/>
  <c r="AH27"/>
  <c r="AC27"/>
  <c r="AB27"/>
  <c r="AA27"/>
  <c r="Z27"/>
  <c r="P27"/>
  <c r="O27"/>
  <c r="N27"/>
  <c r="H27"/>
  <c r="G27"/>
  <c r="F27"/>
  <c r="E27"/>
  <c r="O26"/>
  <c r="AB26" s="1"/>
  <c r="AO26" s="1"/>
  <c r="AP25"/>
  <c r="AO25"/>
  <c r="AC25"/>
  <c r="AB25"/>
  <c r="P25"/>
  <c r="O25"/>
  <c r="H25"/>
  <c r="G25"/>
  <c r="F25"/>
  <c r="E25"/>
  <c r="D25"/>
  <c r="AP24"/>
  <c r="AO24"/>
  <c r="AN24"/>
  <c r="AC24"/>
  <c r="AB24"/>
  <c r="AA24"/>
  <c r="P24"/>
  <c r="O24"/>
  <c r="N24"/>
  <c r="H24"/>
  <c r="G24"/>
  <c r="F24"/>
  <c r="E24"/>
  <c r="D24"/>
  <c r="AP23"/>
  <c r="AO23"/>
  <c r="AN23"/>
  <c r="AC23"/>
  <c r="AB23"/>
  <c r="AA23"/>
  <c r="P23"/>
  <c r="O23"/>
  <c r="N23"/>
  <c r="G23"/>
  <c r="F23"/>
  <c r="E23"/>
  <c r="AZ22"/>
  <c r="AU22"/>
  <c r="AP22"/>
  <c r="AO22"/>
  <c r="AN22"/>
  <c r="AM22"/>
  <c r="AH22"/>
  <c r="AC22"/>
  <c r="AB22"/>
  <c r="AA22"/>
  <c r="Z22"/>
  <c r="U22"/>
  <c r="P22"/>
  <c r="O22"/>
  <c r="N22"/>
  <c r="M22"/>
  <c r="H22"/>
  <c r="G22"/>
  <c r="F22"/>
  <c r="E22"/>
  <c r="B21"/>
  <c r="AP20"/>
  <c r="AO20"/>
  <c r="AC20"/>
  <c r="AB20"/>
  <c r="P20"/>
  <c r="O20"/>
  <c r="H20"/>
  <c r="G20"/>
  <c r="F20"/>
  <c r="E20"/>
  <c r="D20"/>
  <c r="AP19"/>
  <c r="AO19"/>
  <c r="AN19"/>
  <c r="AC19"/>
  <c r="AB19"/>
  <c r="AA19"/>
  <c r="P19"/>
  <c r="O19"/>
  <c r="N19"/>
  <c r="H19"/>
  <c r="G19"/>
  <c r="F19"/>
  <c r="E19"/>
  <c r="D19"/>
  <c r="AP18"/>
  <c r="AO18"/>
  <c r="AN18"/>
  <c r="AC18"/>
  <c r="AB18"/>
  <c r="AA18"/>
  <c r="P18"/>
  <c r="O18"/>
  <c r="N18"/>
  <c r="I18"/>
  <c r="G18"/>
  <c r="F18"/>
  <c r="E18"/>
  <c r="AZ17"/>
  <c r="AU17"/>
  <c r="AP17"/>
  <c r="AO17"/>
  <c r="AN17"/>
  <c r="AM17"/>
  <c r="AH17"/>
  <c r="AC17"/>
  <c r="AB17"/>
  <c r="AA17"/>
  <c r="Z17"/>
  <c r="U17"/>
  <c r="P17"/>
  <c r="O17"/>
  <c r="N17"/>
  <c r="M17"/>
  <c r="H17"/>
  <c r="G17"/>
  <c r="F17"/>
  <c r="E17"/>
  <c r="O16"/>
  <c r="AB16" s="1"/>
  <c r="AO16" s="1"/>
  <c r="AP15"/>
  <c r="AO15"/>
  <c r="AC15"/>
  <c r="AB15"/>
  <c r="P15"/>
  <c r="O15"/>
  <c r="H15"/>
  <c r="G15"/>
  <c r="F15"/>
  <c r="E15"/>
  <c r="D15"/>
  <c r="AP14"/>
  <c r="AO14"/>
  <c r="AN14"/>
  <c r="AC14"/>
  <c r="AB14"/>
  <c r="AA14"/>
  <c r="P14"/>
  <c r="O14"/>
  <c r="N14"/>
  <c r="H14"/>
  <c r="G14"/>
  <c r="F14"/>
  <c r="E14"/>
  <c r="D14"/>
  <c r="AP13"/>
  <c r="AO13"/>
  <c r="AN13"/>
  <c r="AC13"/>
  <c r="AB13"/>
  <c r="AA13"/>
  <c r="P13"/>
  <c r="O13"/>
  <c r="N13"/>
  <c r="I13"/>
  <c r="H13"/>
  <c r="G13"/>
  <c r="F13"/>
  <c r="E13"/>
  <c r="AZ12"/>
  <c r="AU12"/>
  <c r="AP12"/>
  <c r="AO12"/>
  <c r="AN12"/>
  <c r="AM12"/>
  <c r="AC12"/>
  <c r="AB12"/>
  <c r="AA12"/>
  <c r="Z12"/>
  <c r="U12"/>
  <c r="P12"/>
  <c r="O12"/>
  <c r="N12"/>
  <c r="M12"/>
  <c r="H12"/>
  <c r="G12"/>
  <c r="F12"/>
  <c r="E12"/>
  <c r="B11"/>
  <c r="A11" s="1"/>
  <c r="A16" s="1"/>
  <c r="AZ10"/>
  <c r="AP10"/>
  <c r="AO10"/>
  <c r="AC10"/>
  <c r="AB10"/>
  <c r="P10"/>
  <c r="O10"/>
  <c r="H10"/>
  <c r="G10"/>
  <c r="F10"/>
  <c r="E10"/>
  <c r="D10"/>
  <c r="AP9"/>
  <c r="AO9"/>
  <c r="AN9"/>
  <c r="AC9"/>
  <c r="AB9"/>
  <c r="AA9"/>
  <c r="P9"/>
  <c r="O9"/>
  <c r="N9"/>
  <c r="H9"/>
  <c r="G9"/>
  <c r="F9"/>
  <c r="E9"/>
  <c r="D9"/>
  <c r="AP8"/>
  <c r="AO8"/>
  <c r="AN8"/>
  <c r="AC8"/>
  <c r="AB8"/>
  <c r="AA8"/>
  <c r="P8"/>
  <c r="O8"/>
  <c r="N8"/>
  <c r="I9"/>
  <c r="I10" s="1"/>
  <c r="G8"/>
  <c r="F8"/>
  <c r="E8"/>
  <c r="AZ7"/>
  <c r="AU7"/>
  <c r="AP7"/>
  <c r="AO7"/>
  <c r="AN7"/>
  <c r="AM7"/>
  <c r="AH7"/>
  <c r="AC7"/>
  <c r="AB7"/>
  <c r="AA7"/>
  <c r="Z7"/>
  <c r="U7"/>
  <c r="P7"/>
  <c r="O7"/>
  <c r="N7"/>
  <c r="M7"/>
  <c r="H7"/>
  <c r="G7"/>
  <c r="F7"/>
  <c r="E7"/>
  <c r="AN6"/>
  <c r="AA6"/>
  <c r="N6"/>
  <c r="B6"/>
  <c r="O6" s="1"/>
  <c r="AB6" s="1"/>
  <c r="AO6" s="1"/>
  <c r="AZ5"/>
  <c r="AY5"/>
  <c r="AX5"/>
  <c r="AW5"/>
  <c r="AV5"/>
  <c r="AU5"/>
  <c r="AT5"/>
  <c r="AS5"/>
  <c r="AR5"/>
  <c r="AQ5"/>
  <c r="AM5"/>
  <c r="AL5"/>
  <c r="AK5"/>
  <c r="AJ5"/>
  <c r="AI5"/>
  <c r="AH5"/>
  <c r="AG5"/>
  <c r="AF5"/>
  <c r="AE5"/>
  <c r="AD5"/>
  <c r="Z5"/>
  <c r="Y5"/>
  <c r="X5"/>
  <c r="W5"/>
  <c r="V5"/>
  <c r="U5"/>
  <c r="T5"/>
  <c r="S5"/>
  <c r="R5"/>
  <c r="Q5"/>
  <c r="M5"/>
  <c r="L5"/>
  <c r="K5"/>
  <c r="J5"/>
  <c r="I5"/>
  <c r="H5"/>
  <c r="G5"/>
  <c r="F5"/>
  <c r="E5"/>
  <c r="D5"/>
  <c r="AV3"/>
  <c r="AQ3"/>
  <c r="AI3"/>
  <c r="AD3"/>
  <c r="V3"/>
  <c r="Q3"/>
  <c r="I3"/>
  <c r="D3"/>
  <c r="O16" i="4"/>
  <c r="Y15"/>
  <c r="T15"/>
  <c r="O15"/>
  <c r="M15"/>
  <c r="H15"/>
  <c r="C15"/>
  <c r="Y14"/>
  <c r="T14"/>
  <c r="O14"/>
  <c r="M14"/>
  <c r="H14"/>
  <c r="C14"/>
  <c r="Y13"/>
  <c r="T13"/>
  <c r="O13"/>
  <c r="M13"/>
  <c r="H13"/>
  <c r="C13"/>
  <c r="Y12"/>
  <c r="X12"/>
  <c r="W12"/>
  <c r="V12"/>
  <c r="U12"/>
  <c r="T12"/>
  <c r="S12"/>
  <c r="R12"/>
  <c r="Q12"/>
  <c r="P12"/>
  <c r="O12"/>
  <c r="M12"/>
  <c r="L12"/>
  <c r="K12"/>
  <c r="J12"/>
  <c r="I12"/>
  <c r="H12"/>
  <c r="G12"/>
  <c r="F12"/>
  <c r="E12"/>
  <c r="D12"/>
  <c r="C12"/>
  <c r="Y11"/>
  <c r="T11"/>
  <c r="O11"/>
  <c r="N11"/>
  <c r="M11"/>
  <c r="H11"/>
  <c r="C11"/>
  <c r="Y10"/>
  <c r="T10"/>
  <c r="O10"/>
  <c r="N10"/>
  <c r="M10"/>
  <c r="H10"/>
  <c r="C10"/>
  <c r="Y9"/>
  <c r="T9"/>
  <c r="O9"/>
  <c r="M9"/>
  <c r="H9"/>
  <c r="C9"/>
  <c r="O8"/>
  <c r="Q7"/>
  <c r="Q16" s="1"/>
  <c r="P7"/>
  <c r="O20" i="13" s="1"/>
  <c r="O7" i="4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O3"/>
  <c r="O15" i="3"/>
  <c r="N15"/>
  <c r="O14"/>
  <c r="N14"/>
  <c r="X13"/>
  <c r="X14" s="1"/>
  <c r="W13"/>
  <c r="V13"/>
  <c r="V14" s="1"/>
  <c r="U13"/>
  <c r="S13"/>
  <c r="R13"/>
  <c r="R14" s="1"/>
  <c r="Q13"/>
  <c r="P13"/>
  <c r="P14" s="1"/>
  <c r="O13"/>
  <c r="N13"/>
  <c r="L13"/>
  <c r="L14" s="1"/>
  <c r="L8" i="4" s="1"/>
  <c r="L7" s="1"/>
  <c r="K13" i="3"/>
  <c r="J13"/>
  <c r="J14" s="1"/>
  <c r="J8" i="4" s="1"/>
  <c r="J7" s="1"/>
  <c r="I13" i="3"/>
  <c r="Y12"/>
  <c r="T12"/>
  <c r="O12"/>
  <c r="N12"/>
  <c r="M12"/>
  <c r="H12"/>
  <c r="C12"/>
  <c r="Y11"/>
  <c r="X11"/>
  <c r="W11"/>
  <c r="V11"/>
  <c r="U11"/>
  <c r="T11"/>
  <c r="S11"/>
  <c r="R11"/>
  <c r="Q11"/>
  <c r="P11"/>
  <c r="O11"/>
  <c r="M11"/>
  <c r="L11"/>
  <c r="K11"/>
  <c r="J11"/>
  <c r="H11"/>
  <c r="G11"/>
  <c r="F11"/>
  <c r="E11"/>
  <c r="D11"/>
  <c r="C11"/>
  <c r="I10" i="10" s="1"/>
  <c r="J10" s="1"/>
  <c r="K10" s="1"/>
  <c r="L10" s="1"/>
  <c r="M10" s="1"/>
  <c r="Q10" s="1"/>
  <c r="R10" s="1"/>
  <c r="S10" s="1"/>
  <c r="T10" s="1"/>
  <c r="U10" s="1"/>
  <c r="V10" s="1"/>
  <c r="W10" s="1"/>
  <c r="X10" s="1"/>
  <c r="Y10" s="1"/>
  <c r="Z10" s="1"/>
  <c r="AD10" s="1"/>
  <c r="AE10" s="1"/>
  <c r="AF10" s="1"/>
  <c r="AG10" s="1"/>
  <c r="AH10" s="1"/>
  <c r="AI10" s="1"/>
  <c r="AJ10" s="1"/>
  <c r="AK10" s="1"/>
  <c r="AL10" s="1"/>
  <c r="AM10" s="1"/>
  <c r="AQ10" s="1"/>
  <c r="AR10" s="1"/>
  <c r="AS10" s="1"/>
  <c r="AT10" s="1"/>
  <c r="AU10" s="1"/>
  <c r="AV10" s="1"/>
  <c r="AW10" s="1"/>
  <c r="AX10" s="1"/>
  <c r="AY10" s="1"/>
  <c r="AZ10" s="1"/>
  <c r="Y10" i="3"/>
  <c r="X10"/>
  <c r="W10"/>
  <c r="V10"/>
  <c r="U10"/>
  <c r="T10"/>
  <c r="S10"/>
  <c r="R10"/>
  <c r="Q10"/>
  <c r="P10"/>
  <c r="O10"/>
  <c r="M10"/>
  <c r="L10"/>
  <c r="K10"/>
  <c r="J10"/>
  <c r="F10"/>
  <c r="E10"/>
  <c r="Y9"/>
  <c r="X9"/>
  <c r="W9"/>
  <c r="V9"/>
  <c r="U9"/>
  <c r="T9"/>
  <c r="S9"/>
  <c r="R9"/>
  <c r="Q9"/>
  <c r="P9"/>
  <c r="O9"/>
  <c r="M9"/>
  <c r="L9"/>
  <c r="K9"/>
  <c r="J9"/>
  <c r="D9"/>
  <c r="E9" s="1"/>
  <c r="Y8"/>
  <c r="X8"/>
  <c r="W8"/>
  <c r="V8"/>
  <c r="U8"/>
  <c r="T8"/>
  <c r="S8"/>
  <c r="R8"/>
  <c r="Q8"/>
  <c r="P8"/>
  <c r="O8"/>
  <c r="M8"/>
  <c r="L8"/>
  <c r="K8"/>
  <c r="J8"/>
  <c r="D8"/>
  <c r="E8" s="1"/>
  <c r="F8" s="1"/>
  <c r="G8" s="1"/>
  <c r="Y7"/>
  <c r="X7"/>
  <c r="W7"/>
  <c r="V7"/>
  <c r="U7"/>
  <c r="T7"/>
  <c r="S7"/>
  <c r="R7"/>
  <c r="Q7"/>
  <c r="P7"/>
  <c r="O7"/>
  <c r="N7"/>
  <c r="M7"/>
  <c r="L7"/>
  <c r="K7"/>
  <c r="J7"/>
  <c r="I7"/>
  <c r="M6"/>
  <c r="L6"/>
  <c r="K6"/>
  <c r="J6"/>
  <c r="I6"/>
  <c r="H6"/>
  <c r="G6"/>
  <c r="F6"/>
  <c r="E6"/>
  <c r="D6"/>
  <c r="C6"/>
  <c r="B6"/>
  <c r="U4"/>
  <c r="U4" i="4" s="1"/>
  <c r="P4" i="3"/>
  <c r="P4" i="4" s="1"/>
  <c r="I4" i="3"/>
  <c r="I4" i="4" s="1"/>
  <c r="D4" i="3"/>
  <c r="D4" i="4" s="1"/>
  <c r="O3" i="3"/>
  <c r="E73" i="2"/>
  <c r="E74" s="1"/>
  <c r="E75" s="1"/>
  <c r="D73"/>
  <c r="D74" s="1"/>
  <c r="D75" s="1"/>
  <c r="C73"/>
  <c r="C74" s="1"/>
  <c r="C75" s="1"/>
  <c r="B73"/>
  <c r="B74" s="1"/>
  <c r="B75" s="1"/>
  <c r="A73"/>
  <c r="A74" s="1"/>
  <c r="A75" s="1"/>
  <c r="B68"/>
  <c r="D59"/>
  <c r="D68" s="1"/>
  <c r="B57"/>
  <c r="D56"/>
  <c r="D55"/>
  <c r="D54"/>
  <c r="D53"/>
  <c r="D52"/>
  <c r="D51"/>
  <c r="D50"/>
  <c r="D49"/>
  <c r="D48"/>
  <c r="D47"/>
  <c r="D46"/>
  <c r="B44"/>
  <c r="B70" s="1"/>
  <c r="D43"/>
  <c r="D42"/>
  <c r="D41"/>
  <c r="D40"/>
  <c r="D39"/>
  <c r="D38"/>
  <c r="D37"/>
  <c r="D36"/>
  <c r="D35"/>
  <c r="D34"/>
  <c r="D33"/>
  <c r="D32"/>
  <c r="D31"/>
  <c r="D30"/>
  <c r="D29"/>
  <c r="D28"/>
  <c r="D44" s="1"/>
  <c r="C24"/>
  <c r="C23"/>
  <c r="C15" i="10" s="1"/>
  <c r="C22" i="2"/>
  <c r="C14" i="10" s="1"/>
  <c r="C21" i="2"/>
  <c r="C13" i="10" s="1"/>
  <c r="C20" i="2"/>
  <c r="C12" i="10" s="1"/>
  <c r="AP12" s="1"/>
  <c r="C16" i="2"/>
  <c r="B16"/>
  <c r="C12" i="11" s="1"/>
  <c r="D12" s="1"/>
  <c r="C12" i="2"/>
  <c r="AV26" i="13" l="1"/>
  <c r="AQ26"/>
  <c r="AO24"/>
  <c r="AI24"/>
  <c r="AD30"/>
  <c r="AD38" s="1"/>
  <c r="AD24"/>
  <c r="AE25"/>
  <c r="AG9"/>
  <c r="AE10"/>
  <c r="AJ10"/>
  <c r="AQ14"/>
  <c r="AV14"/>
  <c r="AE20"/>
  <c r="AP19"/>
  <c r="AQ21"/>
  <c r="AV21"/>
  <c r="G22"/>
  <c r="AF22"/>
  <c r="AF19" s="1"/>
  <c r="AF27" s="1"/>
  <c r="S23"/>
  <c r="X23"/>
  <c r="AM24"/>
  <c r="AO30"/>
  <c r="AO38" s="1"/>
  <c r="AF30"/>
  <c r="AF38" s="1"/>
  <c r="AR30"/>
  <c r="AR19"/>
  <c r="AP9"/>
  <c r="S10"/>
  <c r="X10"/>
  <c r="AE14"/>
  <c r="AJ14"/>
  <c r="AO19"/>
  <c r="AO27" s="1"/>
  <c r="AT19"/>
  <c r="AE21"/>
  <c r="AJ21"/>
  <c r="G23"/>
  <c r="L23"/>
  <c r="S25"/>
  <c r="X25"/>
  <c r="AE26"/>
  <c r="AJ26"/>
  <c r="AP24"/>
  <c r="AP27" s="1"/>
  <c r="AQ31"/>
  <c r="AV31"/>
  <c r="G32"/>
  <c r="L32"/>
  <c r="AH30"/>
  <c r="AH38" s="1"/>
  <c r="S33"/>
  <c r="X33"/>
  <c r="AS9"/>
  <c r="AJ9" i="11"/>
  <c r="AO9" i="13"/>
  <c r="G10"/>
  <c r="L10"/>
  <c r="S14"/>
  <c r="X14"/>
  <c r="S21"/>
  <c r="X21"/>
  <c r="AQ23"/>
  <c r="AV23"/>
  <c r="AA24"/>
  <c r="L25"/>
  <c r="AC24"/>
  <c r="AN24"/>
  <c r="AN27" s="1"/>
  <c r="AS24"/>
  <c r="AT24"/>
  <c r="AE31"/>
  <c r="AJ31"/>
  <c r="AP30"/>
  <c r="AP38" s="1"/>
  <c r="AU30"/>
  <c r="AU38" s="1"/>
  <c r="AQ32"/>
  <c r="AV32"/>
  <c r="G33"/>
  <c r="L33"/>
  <c r="AN30"/>
  <c r="AN38" s="1"/>
  <c r="AQ24"/>
  <c r="AI19"/>
  <c r="AI27" s="1"/>
  <c r="AT9"/>
  <c r="AQ10"/>
  <c r="AV10"/>
  <c r="G14"/>
  <c r="L14"/>
  <c r="AG19"/>
  <c r="AQ20"/>
  <c r="AV20"/>
  <c r="G21"/>
  <c r="L21"/>
  <c r="AE23"/>
  <c r="AJ23"/>
  <c r="AB24"/>
  <c r="AG24"/>
  <c r="AQ25"/>
  <c r="AR24"/>
  <c r="AT30"/>
  <c r="AT38" s="1"/>
  <c r="AE32"/>
  <c r="AJ32"/>
  <c r="AQ33"/>
  <c r="F73" i="7"/>
  <c r="F85"/>
  <c r="F33"/>
  <c r="F21" s="1"/>
  <c r="AS19" i="13"/>
  <c r="U34"/>
  <c r="X34" s="1"/>
  <c r="W35"/>
  <c r="W34" s="1"/>
  <c r="AR27"/>
  <c r="AR38"/>
  <c r="AH19"/>
  <c r="AH27" s="1"/>
  <c r="K34"/>
  <c r="AX15" i="10"/>
  <c r="AY14"/>
  <c r="P16" i="4"/>
  <c r="AQ9" i="11"/>
  <c r="P20" i="13"/>
  <c r="AM22"/>
  <c r="AU22"/>
  <c r="AU19" s="1"/>
  <c r="AU27" s="1"/>
  <c r="AJ25"/>
  <c r="AV33"/>
  <c r="AJ20"/>
  <c r="AV25"/>
  <c r="K6" i="6"/>
  <c r="AI9" i="13"/>
  <c r="AN9"/>
  <c r="AQ9" s="1"/>
  <c r="AR9"/>
  <c r="AV9" s="1"/>
  <c r="AA30"/>
  <c r="AM30"/>
  <c r="I34"/>
  <c r="AV9" i="11"/>
  <c r="AH9" i="13"/>
  <c r="F60" i="7"/>
  <c r="F59"/>
  <c r="F47" s="1"/>
  <c r="F46"/>
  <c r="F34" s="1"/>
  <c r="G17"/>
  <c r="F20"/>
  <c r="F8" s="1"/>
  <c r="P7" i="6"/>
  <c r="P15" i="11"/>
  <c r="K32" i="5"/>
  <c r="M27"/>
  <c r="A21"/>
  <c r="A26" s="1"/>
  <c r="O21"/>
  <c r="AB21" s="1"/>
  <c r="AO21" s="1"/>
  <c r="G14" i="6"/>
  <c r="G13" i="10"/>
  <c r="AP13"/>
  <c r="AC13"/>
  <c r="P13"/>
  <c r="F13"/>
  <c r="D13"/>
  <c r="D57" i="2"/>
  <c r="D58" s="1"/>
  <c r="H15" i="6"/>
  <c r="J15"/>
  <c r="J13" s="1"/>
  <c r="C25" i="8"/>
  <c r="H25"/>
  <c r="I25" s="1"/>
  <c r="J25" s="1"/>
  <c r="K25" s="1"/>
  <c r="O25" s="1"/>
  <c r="I15" i="6"/>
  <c r="I13" s="1"/>
  <c r="I13" i="8" s="1"/>
  <c r="K15" i="6"/>
  <c r="K13" s="1"/>
  <c r="O15"/>
  <c r="O13" s="1"/>
  <c r="AD9" i="11"/>
  <c r="W9"/>
  <c r="X15" i="3"/>
  <c r="X8" i="4"/>
  <c r="X7" s="1"/>
  <c r="D56" i="5"/>
  <c r="D30"/>
  <c r="D45"/>
  <c r="D50"/>
  <c r="AB9" i="11"/>
  <c r="U9"/>
  <c r="V15" i="3"/>
  <c r="V8" i="4"/>
  <c r="V7" s="1"/>
  <c r="K20" i="13"/>
  <c r="K19" s="1"/>
  <c r="L16" i="4"/>
  <c r="O9" i="11"/>
  <c r="P15" i="3"/>
  <c r="Q9" i="11"/>
  <c r="R15" i="3"/>
  <c r="R8" i="4"/>
  <c r="I20" i="13"/>
  <c r="I19" s="1"/>
  <c r="J16" i="4"/>
  <c r="D35" i="5"/>
  <c r="D40"/>
  <c r="H31" i="13"/>
  <c r="H26"/>
  <c r="J31"/>
  <c r="J30" s="1"/>
  <c r="J38" s="1"/>
  <c r="J26"/>
  <c r="J24" s="1"/>
  <c r="M13" i="3"/>
  <c r="P31" i="13"/>
  <c r="P30" s="1"/>
  <c r="P38" s="1"/>
  <c r="P26"/>
  <c r="P24" s="1"/>
  <c r="R31"/>
  <c r="R30" s="1"/>
  <c r="R38" s="1"/>
  <c r="R26"/>
  <c r="R24" s="1"/>
  <c r="T31"/>
  <c r="T26"/>
  <c r="V31"/>
  <c r="V30" s="1"/>
  <c r="V38" s="1"/>
  <c r="V26"/>
  <c r="V24" s="1"/>
  <c r="Y13" i="3"/>
  <c r="E28" i="5"/>
  <c r="E33"/>
  <c r="E38"/>
  <c r="E43"/>
  <c r="E48"/>
  <c r="E53"/>
  <c r="O6" i="6"/>
  <c r="P8"/>
  <c r="P17" s="1"/>
  <c r="E16" i="8"/>
  <c r="E14"/>
  <c r="E15"/>
  <c r="E13"/>
  <c r="H13" i="6"/>
  <c r="J15" i="8"/>
  <c r="J16"/>
  <c r="J14"/>
  <c r="J13"/>
  <c r="I31" i="13"/>
  <c r="I30" s="1"/>
  <c r="I26"/>
  <c r="I24" s="1"/>
  <c r="K31"/>
  <c r="K30" s="1"/>
  <c r="K26"/>
  <c r="K24" s="1"/>
  <c r="O31"/>
  <c r="O26"/>
  <c r="Q31"/>
  <c r="Q30" s="1"/>
  <c r="Q38" s="1"/>
  <c r="Q26"/>
  <c r="Q24" s="1"/>
  <c r="T13" i="3"/>
  <c r="U31" i="13"/>
  <c r="U30" s="1"/>
  <c r="U26"/>
  <c r="U24" s="1"/>
  <c r="W31"/>
  <c r="W30" s="1"/>
  <c r="W38" s="1"/>
  <c r="W26"/>
  <c r="W24" s="1"/>
  <c r="I14" i="3"/>
  <c r="K14"/>
  <c r="Q14"/>
  <c r="T14" s="1"/>
  <c r="S14"/>
  <c r="U14"/>
  <c r="W14"/>
  <c r="J15"/>
  <c r="L15"/>
  <c r="Q28" i="5"/>
  <c r="V28" s="1"/>
  <c r="D55"/>
  <c r="D15" i="8"/>
  <c r="D16"/>
  <c r="D14"/>
  <c r="D13"/>
  <c r="F15"/>
  <c r="F16"/>
  <c r="F14"/>
  <c r="F13"/>
  <c r="I16"/>
  <c r="K16"/>
  <c r="K14"/>
  <c r="K15"/>
  <c r="K13"/>
  <c r="L14" i="6"/>
  <c r="C15"/>
  <c r="I19" i="8"/>
  <c r="J19" s="1"/>
  <c r="K19" s="1"/>
  <c r="P25"/>
  <c r="Q25" s="1"/>
  <c r="R25" s="1"/>
  <c r="T25" s="1"/>
  <c r="U19"/>
  <c r="V19" s="1"/>
  <c r="W19" s="1"/>
  <c r="AA19" s="1"/>
  <c r="E12" i="10"/>
  <c r="G12"/>
  <c r="E14"/>
  <c r="G14"/>
  <c r="I14"/>
  <c r="K14"/>
  <c r="P14"/>
  <c r="R14"/>
  <c r="T14"/>
  <c r="V14"/>
  <c r="X14"/>
  <c r="AC14"/>
  <c r="AE14"/>
  <c r="AG14"/>
  <c r="AI14"/>
  <c r="AK14"/>
  <c r="AP14"/>
  <c r="AR14"/>
  <c r="AT14"/>
  <c r="AV14"/>
  <c r="AX14"/>
  <c r="E15"/>
  <c r="G15"/>
  <c r="I15"/>
  <c r="K15"/>
  <c r="P15"/>
  <c r="R15"/>
  <c r="T15"/>
  <c r="V15"/>
  <c r="X15"/>
  <c r="AC15"/>
  <c r="AE15"/>
  <c r="AG15"/>
  <c r="AI15"/>
  <c r="AK15"/>
  <c r="AP15"/>
  <c r="AR15"/>
  <c r="AT15"/>
  <c r="AV15"/>
  <c r="AY15"/>
  <c r="D12"/>
  <c r="F12"/>
  <c r="P12"/>
  <c r="AC12"/>
  <c r="E13"/>
  <c r="D14"/>
  <c r="F14"/>
  <c r="J14"/>
  <c r="L14"/>
  <c r="Q14"/>
  <c r="S14"/>
  <c r="W14"/>
  <c r="Y14"/>
  <c r="AD14"/>
  <c r="AF14"/>
  <c r="AJ14"/>
  <c r="AL14"/>
  <c r="AQ14"/>
  <c r="AS14"/>
  <c r="AW14"/>
  <c r="D15"/>
  <c r="F15"/>
  <c r="J15"/>
  <c r="L15"/>
  <c r="Q15"/>
  <c r="S15"/>
  <c r="W15"/>
  <c r="Y15"/>
  <c r="AD15"/>
  <c r="AF15"/>
  <c r="AJ15"/>
  <c r="AL15"/>
  <c r="AQ15"/>
  <c r="AS15"/>
  <c r="AW15"/>
  <c r="D20" i="11"/>
  <c r="E12"/>
  <c r="C20"/>
  <c r="B7" i="2"/>
  <c r="H8" i="3"/>
  <c r="C8" s="1"/>
  <c r="D7"/>
  <c r="D13" s="1"/>
  <c r="C26" i="13" s="1"/>
  <c r="F9" i="3"/>
  <c r="G9" s="1"/>
  <c r="E7"/>
  <c r="H9"/>
  <c r="C9" s="1"/>
  <c r="I7" i="10" s="1"/>
  <c r="C25" i="13"/>
  <c r="F7" i="3"/>
  <c r="E25" i="13" s="1"/>
  <c r="J8" i="5"/>
  <c r="R8" s="1"/>
  <c r="Q8"/>
  <c r="I19"/>
  <c r="Q19" s="1"/>
  <c r="Q18"/>
  <c r="I14"/>
  <c r="Q14" s="1"/>
  <c r="T13"/>
  <c r="R13"/>
  <c r="S13"/>
  <c r="Q13"/>
  <c r="O17" i="6"/>
  <c r="J17"/>
  <c r="H17"/>
  <c r="F17"/>
  <c r="D17"/>
  <c r="K17"/>
  <c r="I17"/>
  <c r="E17"/>
  <c r="C17"/>
  <c r="I30" i="5"/>
  <c r="J28"/>
  <c r="AH12"/>
  <c r="N11"/>
  <c r="AA11" s="1"/>
  <c r="AN11" s="1"/>
  <c r="O11"/>
  <c r="AB11" s="1"/>
  <c r="AO11" s="1"/>
  <c r="D45" i="2"/>
  <c r="B8" s="1"/>
  <c r="J18" i="5"/>
  <c r="R18" s="1"/>
  <c r="G10" i="3"/>
  <c r="G7" s="1"/>
  <c r="H7" s="1"/>
  <c r="C7" s="1"/>
  <c r="J9" i="5"/>
  <c r="K10" i="8"/>
  <c r="E10"/>
  <c r="J10"/>
  <c r="F10"/>
  <c r="D10"/>
  <c r="J13" i="5"/>
  <c r="AV30" i="13" l="1"/>
  <c r="AJ24"/>
  <c r="AJ38"/>
  <c r="AJ9"/>
  <c r="I14" i="8"/>
  <c r="I8"/>
  <c r="I15"/>
  <c r="L34" i="13"/>
  <c r="AE24"/>
  <c r="I10" i="8"/>
  <c r="K38" i="13"/>
  <c r="AJ30"/>
  <c r="AV38"/>
  <c r="AS27"/>
  <c r="AV24"/>
  <c r="AG27"/>
  <c r="AJ27" s="1"/>
  <c r="I15" i="5"/>
  <c r="Q15" s="1"/>
  <c r="H13" i="10"/>
  <c r="I38" i="13"/>
  <c r="AT27"/>
  <c r="E12" i="8"/>
  <c r="J12"/>
  <c r="O12"/>
  <c r="H12"/>
  <c r="I12"/>
  <c r="K12"/>
  <c r="I20" i="5"/>
  <c r="Q20" s="1"/>
  <c r="V20" s="1"/>
  <c r="K8"/>
  <c r="S8" s="1"/>
  <c r="D12" i="8"/>
  <c r="F12"/>
  <c r="E8"/>
  <c r="J8"/>
  <c r="F8"/>
  <c r="K8"/>
  <c r="D8"/>
  <c r="H8"/>
  <c r="O8"/>
  <c r="O10"/>
  <c r="AE13" i="5"/>
  <c r="AJ13" s="1"/>
  <c r="AE30" i="13"/>
  <c r="AA38"/>
  <c r="AE38" s="1"/>
  <c r="AF13" i="5"/>
  <c r="AK13" s="1"/>
  <c r="AQ30" i="13"/>
  <c r="AM38"/>
  <c r="AQ38" s="1"/>
  <c r="AQ22"/>
  <c r="AM19"/>
  <c r="AD13" i="5"/>
  <c r="AI13" s="1"/>
  <c r="D14" i="3"/>
  <c r="C37" i="13" s="1"/>
  <c r="C34" s="1"/>
  <c r="H10" i="8"/>
  <c r="L10" s="1"/>
  <c r="L25"/>
  <c r="U38" i="13"/>
  <c r="AV19"/>
  <c r="AJ19"/>
  <c r="J11" i="8"/>
  <c r="H11"/>
  <c r="D11"/>
  <c r="I11"/>
  <c r="F11"/>
  <c r="K11"/>
  <c r="E11"/>
  <c r="H9"/>
  <c r="D9"/>
  <c r="K9"/>
  <c r="E9"/>
  <c r="J9"/>
  <c r="F9"/>
  <c r="O9"/>
  <c r="I9"/>
  <c r="J7"/>
  <c r="F7"/>
  <c r="F6" s="1"/>
  <c r="O7"/>
  <c r="I7"/>
  <c r="H7"/>
  <c r="D7"/>
  <c r="K7"/>
  <c r="E7"/>
  <c r="L15" i="6"/>
  <c r="P14"/>
  <c r="Q7"/>
  <c r="Q15" i="11"/>
  <c r="T32" i="5"/>
  <c r="L32"/>
  <c r="J15" i="11"/>
  <c r="K15"/>
  <c r="AU14" i="10"/>
  <c r="AH14"/>
  <c r="U14"/>
  <c r="D25" i="8"/>
  <c r="E25" s="1"/>
  <c r="F25" s="1"/>
  <c r="AD8" i="5"/>
  <c r="AI8" s="1"/>
  <c r="Q9"/>
  <c r="Q10" s="1"/>
  <c r="F12" i="11"/>
  <c r="E20"/>
  <c r="AU15" i="10"/>
  <c r="AH15"/>
  <c r="U15"/>
  <c r="H15"/>
  <c r="H12"/>
  <c r="D11"/>
  <c r="AZ15"/>
  <c r="Z15"/>
  <c r="AM14"/>
  <c r="M14"/>
  <c r="E11"/>
  <c r="AB19" i="8"/>
  <c r="AC19" s="1"/>
  <c r="AD19" s="1"/>
  <c r="AF19" s="1"/>
  <c r="U25"/>
  <c r="V25" s="1"/>
  <c r="W25" s="1"/>
  <c r="AA25" s="1"/>
  <c r="L19"/>
  <c r="G15" i="6"/>
  <c r="C13"/>
  <c r="AC9" i="11"/>
  <c r="V9"/>
  <c r="W8" i="4"/>
  <c r="W7" s="1"/>
  <c r="W15" i="3"/>
  <c r="R9" i="11"/>
  <c r="S8" i="4"/>
  <c r="S7" s="1"/>
  <c r="S15" i="3"/>
  <c r="K8" i="4"/>
  <c r="K7" s="1"/>
  <c r="K15" i="3"/>
  <c r="S31" i="13"/>
  <c r="O30"/>
  <c r="H15" i="8"/>
  <c r="L15" s="1"/>
  <c r="H16"/>
  <c r="L16" s="1"/>
  <c r="H14"/>
  <c r="H13"/>
  <c r="L13" s="1"/>
  <c r="L13" i="6"/>
  <c r="F48" i="5"/>
  <c r="E49"/>
  <c r="F38"/>
  <c r="E39"/>
  <c r="F28"/>
  <c r="E29"/>
  <c r="X26" i="13"/>
  <c r="T24"/>
  <c r="X24" s="1"/>
  <c r="H30"/>
  <c r="L31"/>
  <c r="I27"/>
  <c r="O9"/>
  <c r="O22"/>
  <c r="K27"/>
  <c r="AB9"/>
  <c r="AB22"/>
  <c r="AB19" s="1"/>
  <c r="AB27" s="1"/>
  <c r="W20"/>
  <c r="X16" i="4"/>
  <c r="W9" i="13"/>
  <c r="W22"/>
  <c r="AF8" i="5"/>
  <c r="AK8" s="1"/>
  <c r="S9"/>
  <c r="S10" s="1"/>
  <c r="R28"/>
  <c r="AE8"/>
  <c r="AJ8" s="1"/>
  <c r="R9"/>
  <c r="R10" s="1"/>
  <c r="H14" i="10"/>
  <c r="F11"/>
  <c r="AM15"/>
  <c r="M15"/>
  <c r="AZ14"/>
  <c r="Z14"/>
  <c r="G11"/>
  <c r="X19" i="8"/>
  <c r="S25"/>
  <c r="O16"/>
  <c r="O14"/>
  <c r="O15"/>
  <c r="O13"/>
  <c r="AA9" i="11"/>
  <c r="U8" i="4"/>
  <c r="Y14" i="3"/>
  <c r="U15"/>
  <c r="P9" i="11"/>
  <c r="Q15" i="3"/>
  <c r="M14"/>
  <c r="I8" i="4"/>
  <c r="I15" i="3"/>
  <c r="S26" i="13"/>
  <c r="O24"/>
  <c r="S24" s="1"/>
  <c r="Q8" i="6"/>
  <c r="P6"/>
  <c r="E54" i="5"/>
  <c r="F53"/>
  <c r="F43"/>
  <c r="E44"/>
  <c r="F33"/>
  <c r="E34"/>
  <c r="X31" i="13"/>
  <c r="T30"/>
  <c r="H24"/>
  <c r="L24" s="1"/>
  <c r="L26"/>
  <c r="T8" i="4"/>
  <c r="T7" s="1"/>
  <c r="T16" s="1"/>
  <c r="R7"/>
  <c r="Q9" i="13"/>
  <c r="Q22"/>
  <c r="U20"/>
  <c r="V16" i="4"/>
  <c r="U9" i="13"/>
  <c r="U22"/>
  <c r="X9" i="11"/>
  <c r="C8" i="13"/>
  <c r="C6" i="12"/>
  <c r="C28" i="8"/>
  <c r="D57" i="5"/>
  <c r="D58" s="1"/>
  <c r="AD9" i="13"/>
  <c r="AD22"/>
  <c r="AD19" s="1"/>
  <c r="AD27" s="1"/>
  <c r="F13" i="3"/>
  <c r="F14" s="1"/>
  <c r="E37" i="13" s="1"/>
  <c r="C24"/>
  <c r="D8" i="4"/>
  <c r="D25" i="13"/>
  <c r="E13" i="3"/>
  <c r="D26" i="13" s="1"/>
  <c r="I12" i="10"/>
  <c r="J7"/>
  <c r="J10" i="5"/>
  <c r="W10" s="1"/>
  <c r="AE10" s="1"/>
  <c r="AJ10" s="1"/>
  <c r="AR10" s="1"/>
  <c r="V19"/>
  <c r="V15"/>
  <c r="V14"/>
  <c r="U13"/>
  <c r="C18" i="6"/>
  <c r="G17"/>
  <c r="C16"/>
  <c r="I18"/>
  <c r="I16" s="1"/>
  <c r="I20" i="8" s="1"/>
  <c r="P18" i="6"/>
  <c r="P16" s="1"/>
  <c r="P20" i="8" s="1"/>
  <c r="D18" i="6"/>
  <c r="D16" s="1"/>
  <c r="D20" i="8" s="1"/>
  <c r="L17" i="6"/>
  <c r="H18"/>
  <c r="O18"/>
  <c r="O16" s="1"/>
  <c r="E18"/>
  <c r="E16" s="1"/>
  <c r="E20" i="8" s="1"/>
  <c r="K18" i="6"/>
  <c r="K16" s="1"/>
  <c r="K20" i="8" s="1"/>
  <c r="F18" i="6"/>
  <c r="F16" s="1"/>
  <c r="F20" i="8" s="1"/>
  <c r="J18" i="6"/>
  <c r="J16" s="1"/>
  <c r="J20" i="8" s="1"/>
  <c r="J29" i="5"/>
  <c r="K28"/>
  <c r="N16"/>
  <c r="AA16" s="1"/>
  <c r="AN16" s="1"/>
  <c r="AT20" i="6"/>
  <c r="AR20"/>
  <c r="AP20"/>
  <c r="AN20"/>
  <c r="AI20"/>
  <c r="AG20"/>
  <c r="AC20"/>
  <c r="AA20"/>
  <c r="V20"/>
  <c r="T20"/>
  <c r="R20"/>
  <c r="P20"/>
  <c r="K20"/>
  <c r="I20"/>
  <c r="E20"/>
  <c r="C20"/>
  <c r="AU20"/>
  <c r="AS20"/>
  <c r="AO20"/>
  <c r="AM20"/>
  <c r="AH20"/>
  <c r="AF20"/>
  <c r="AD20"/>
  <c r="AB20"/>
  <c r="W20"/>
  <c r="U20"/>
  <c r="Q20"/>
  <c r="O20"/>
  <c r="J20"/>
  <c r="H20"/>
  <c r="F20"/>
  <c r="D20"/>
  <c r="J19" i="5"/>
  <c r="R19" s="1"/>
  <c r="W19" s="1"/>
  <c r="AE19" s="1"/>
  <c r="AJ19" s="1"/>
  <c r="AR19" s="1"/>
  <c r="AW19" s="1"/>
  <c r="K18"/>
  <c r="S18" s="1"/>
  <c r="F25" i="13"/>
  <c r="G13" i="3"/>
  <c r="F26" i="13" s="1"/>
  <c r="J9" i="11"/>
  <c r="H10" i="3"/>
  <c r="C10" s="1"/>
  <c r="I8" i="10" s="1"/>
  <c r="L8" i="5"/>
  <c r="K9"/>
  <c r="J14"/>
  <c r="R14" s="1"/>
  <c r="W14" s="1"/>
  <c r="AE14" s="1"/>
  <c r="AJ14" s="1"/>
  <c r="AR14" s="1"/>
  <c r="AW14" s="1"/>
  <c r="K13"/>
  <c r="AV27" i="13" l="1"/>
  <c r="T15" i="3"/>
  <c r="L14" i="8"/>
  <c r="L15" i="11"/>
  <c r="R29" i="5"/>
  <c r="R30" s="1"/>
  <c r="W28"/>
  <c r="AE28" s="1"/>
  <c r="L7" i="8"/>
  <c r="I6"/>
  <c r="I7" i="12" s="1"/>
  <c r="L8" i="8"/>
  <c r="V9" i="5"/>
  <c r="L11" i="8"/>
  <c r="L9"/>
  <c r="E6"/>
  <c r="E7" i="12" s="1"/>
  <c r="D6" i="8"/>
  <c r="D7" i="12" s="1"/>
  <c r="J6" i="8"/>
  <c r="J7" i="12" s="1"/>
  <c r="AX13" i="5"/>
  <c r="H6" i="8"/>
  <c r="H7" i="12" s="1"/>
  <c r="AW13" i="5"/>
  <c r="S28"/>
  <c r="AV13"/>
  <c r="AW18"/>
  <c r="AM27" i="13"/>
  <c r="AQ27" s="1"/>
  <c r="AQ19"/>
  <c r="D15" i="3"/>
  <c r="Y15"/>
  <c r="F15"/>
  <c r="H9" i="11"/>
  <c r="H9" i="13" s="1"/>
  <c r="M15" i="3"/>
  <c r="H13"/>
  <c r="C13" s="1"/>
  <c r="D16"/>
  <c r="E26" i="13"/>
  <c r="F8" i="4"/>
  <c r="AW8" i="5"/>
  <c r="AX8"/>
  <c r="AV8"/>
  <c r="Q14" i="6"/>
  <c r="Q15" s="1"/>
  <c r="Q13" s="1"/>
  <c r="Q12" i="8" s="1"/>
  <c r="R7" i="6"/>
  <c r="P15"/>
  <c r="R15" i="11"/>
  <c r="V32" i="5"/>
  <c r="U32"/>
  <c r="K6" i="8"/>
  <c r="K12" i="13" s="1"/>
  <c r="M32" i="5"/>
  <c r="O15" i="11"/>
  <c r="U27" i="5"/>
  <c r="O11" i="8"/>
  <c r="Q29" i="5"/>
  <c r="Q30" s="1"/>
  <c r="W9"/>
  <c r="AE9" s="1"/>
  <c r="AJ9" s="1"/>
  <c r="AR9" s="1"/>
  <c r="G25" i="8"/>
  <c r="W19" i="13"/>
  <c r="W27" s="1"/>
  <c r="T9" i="5"/>
  <c r="T10" s="1"/>
  <c r="C29" i="8"/>
  <c r="C27" s="1"/>
  <c r="C7" i="13"/>
  <c r="U19"/>
  <c r="U27" s="1"/>
  <c r="Q20"/>
  <c r="R16" i="4"/>
  <c r="X30" i="13"/>
  <c r="T38"/>
  <c r="X38" s="1"/>
  <c r="E35" i="5"/>
  <c r="E45"/>
  <c r="F54"/>
  <c r="F55" s="1"/>
  <c r="G53"/>
  <c r="P22" i="13"/>
  <c r="P19" s="1"/>
  <c r="P27" s="1"/>
  <c r="P9"/>
  <c r="AA22"/>
  <c r="AA9"/>
  <c r="AE9" i="11"/>
  <c r="E30" i="10"/>
  <c r="E31"/>
  <c r="E29"/>
  <c r="F21" i="8"/>
  <c r="S9" i="11"/>
  <c r="E56" i="5"/>
  <c r="E30"/>
  <c r="E40"/>
  <c r="E50"/>
  <c r="O38" i="13"/>
  <c r="S38" s="1"/>
  <c r="S30"/>
  <c r="R22"/>
  <c r="R9"/>
  <c r="S9" s="1"/>
  <c r="V20"/>
  <c r="W16" i="4"/>
  <c r="AC22" i="13"/>
  <c r="AC19" s="1"/>
  <c r="AC27" s="1"/>
  <c r="AC9"/>
  <c r="AB25" i="8"/>
  <c r="AG19"/>
  <c r="AH19" s="1"/>
  <c r="AI19" s="1"/>
  <c r="AM19" s="1"/>
  <c r="E24" i="10"/>
  <c r="E25"/>
  <c r="E23"/>
  <c r="D21" i="8"/>
  <c r="D22" s="1"/>
  <c r="H11" i="10"/>
  <c r="G21" i="8" s="1"/>
  <c r="F20" i="11"/>
  <c r="G20" s="1"/>
  <c r="H12"/>
  <c r="G12"/>
  <c r="C7"/>
  <c r="D117" i="2"/>
  <c r="F34" i="5"/>
  <c r="F35" s="1"/>
  <c r="G33"/>
  <c r="F44"/>
  <c r="F45" s="1"/>
  <c r="G43"/>
  <c r="E55"/>
  <c r="Q6" i="6"/>
  <c r="R8"/>
  <c r="Q17"/>
  <c r="M8" i="4"/>
  <c r="M7" s="1"/>
  <c r="M16" s="1"/>
  <c r="I7"/>
  <c r="Y8"/>
  <c r="Y7" s="1"/>
  <c r="Y16" s="1"/>
  <c r="U7"/>
  <c r="E27" i="10"/>
  <c r="E28"/>
  <c r="E26"/>
  <c r="E21" i="8"/>
  <c r="S22" i="13"/>
  <c r="O19"/>
  <c r="L30"/>
  <c r="H38"/>
  <c r="L38" s="1"/>
  <c r="F29" i="5"/>
  <c r="G28"/>
  <c r="G29" s="1"/>
  <c r="F39"/>
  <c r="F40" s="1"/>
  <c r="G38"/>
  <c r="F49"/>
  <c r="F50" s="1"/>
  <c r="G48"/>
  <c r="J20" i="13"/>
  <c r="J19" s="1"/>
  <c r="J27" s="1"/>
  <c r="K16" i="4"/>
  <c r="R20" i="13"/>
  <c r="R19" s="1"/>
  <c r="R27" s="1"/>
  <c r="S16" i="4"/>
  <c r="V22" i="13"/>
  <c r="X22" s="1"/>
  <c r="V9"/>
  <c r="X9" s="1"/>
  <c r="C16" i="8"/>
  <c r="G16" s="1"/>
  <c r="C14"/>
  <c r="G14" s="1"/>
  <c r="C15"/>
  <c r="G15" s="1"/>
  <c r="C12"/>
  <c r="G12" s="1"/>
  <c r="C13"/>
  <c r="G13" s="1"/>
  <c r="G13" i="6"/>
  <c r="C7" i="8"/>
  <c r="C9"/>
  <c r="G9" s="1"/>
  <c r="C8"/>
  <c r="G8" s="1"/>
  <c r="C10"/>
  <c r="G10" s="1"/>
  <c r="C11"/>
  <c r="G11" s="1"/>
  <c r="X25"/>
  <c r="AE19"/>
  <c r="E21" i="10"/>
  <c r="E22"/>
  <c r="E20"/>
  <c r="F20" s="1"/>
  <c r="D21" s="1"/>
  <c r="D16"/>
  <c r="E16" s="1"/>
  <c r="F16" s="1"/>
  <c r="G16" s="1"/>
  <c r="H16" s="1"/>
  <c r="C21" i="8"/>
  <c r="K7" i="10"/>
  <c r="J12"/>
  <c r="D24" i="13"/>
  <c r="D7" i="4"/>
  <c r="C31" i="13"/>
  <c r="C30" s="1"/>
  <c r="C38" s="1"/>
  <c r="E14" i="3"/>
  <c r="K10" i="5"/>
  <c r="X10" s="1"/>
  <c r="AF10" s="1"/>
  <c r="AK10" s="1"/>
  <c r="AS10" s="1"/>
  <c r="X9"/>
  <c r="AF9" s="1"/>
  <c r="AK9" s="1"/>
  <c r="AS9" s="1"/>
  <c r="V10"/>
  <c r="AG8"/>
  <c r="AL8" s="1"/>
  <c r="Z8"/>
  <c r="AH8" s="1"/>
  <c r="AM8" s="1"/>
  <c r="AD9"/>
  <c r="AI9" s="1"/>
  <c r="AQ9" s="1"/>
  <c r="AD19"/>
  <c r="AD20"/>
  <c r="AD14"/>
  <c r="AD15"/>
  <c r="AG13"/>
  <c r="AH13" s="1"/>
  <c r="E22" i="8"/>
  <c r="O20"/>
  <c r="L18" i="6"/>
  <c r="F22" i="8"/>
  <c r="H16" i="6"/>
  <c r="G16"/>
  <c r="C20" i="8"/>
  <c r="G18" i="6"/>
  <c r="K29" i="5"/>
  <c r="K30" s="1"/>
  <c r="L28"/>
  <c r="J30"/>
  <c r="N21"/>
  <c r="AA21" s="1"/>
  <c r="AN21" s="1"/>
  <c r="D21" i="6"/>
  <c r="D12" s="1"/>
  <c r="D11" i="11" s="1"/>
  <c r="D11" i="6"/>
  <c r="H21"/>
  <c r="H19" s="1"/>
  <c r="L20"/>
  <c r="H11"/>
  <c r="O21"/>
  <c r="O19" s="1"/>
  <c r="S20"/>
  <c r="O11"/>
  <c r="U21"/>
  <c r="AB21"/>
  <c r="AF21"/>
  <c r="AJ20"/>
  <c r="AM21"/>
  <c r="AQ20"/>
  <c r="AS21"/>
  <c r="G20"/>
  <c r="C21"/>
  <c r="C11"/>
  <c r="I21"/>
  <c r="I12" s="1"/>
  <c r="I11" i="11" s="1"/>
  <c r="I11" i="6"/>
  <c r="P21"/>
  <c r="P12" s="1"/>
  <c r="P11" i="11" s="1"/>
  <c r="P11" i="6"/>
  <c r="X20"/>
  <c r="T21"/>
  <c r="AE20"/>
  <c r="AA21"/>
  <c r="AG21"/>
  <c r="AG19" s="1"/>
  <c r="AG24" i="8" s="1"/>
  <c r="AN21" i="6"/>
  <c r="AV20"/>
  <c r="AR21"/>
  <c r="F21"/>
  <c r="F12" s="1"/>
  <c r="F11" i="11" s="1"/>
  <c r="F11" i="6"/>
  <c r="J21"/>
  <c r="J12" s="1"/>
  <c r="J11" i="11" s="1"/>
  <c r="J11" i="6"/>
  <c r="Q21"/>
  <c r="Q11"/>
  <c r="W21"/>
  <c r="AD21"/>
  <c r="AD19" s="1"/>
  <c r="AD24" i="8" s="1"/>
  <c r="AH21" i="6"/>
  <c r="AO21"/>
  <c r="AU21"/>
  <c r="E21"/>
  <c r="E12" s="1"/>
  <c r="E11" i="11" s="1"/>
  <c r="E11" i="6"/>
  <c r="K21"/>
  <c r="K12" s="1"/>
  <c r="K11" i="11" s="1"/>
  <c r="K11" i="6"/>
  <c r="R21"/>
  <c r="V21"/>
  <c r="AC21"/>
  <c r="AC19" s="1"/>
  <c r="AC24" i="8" s="1"/>
  <c r="AI21" i="6"/>
  <c r="AP21"/>
  <c r="AT21"/>
  <c r="K19" i="5"/>
  <c r="L18"/>
  <c r="T18" s="1"/>
  <c r="V18" s="1"/>
  <c r="J20"/>
  <c r="R20" s="1"/>
  <c r="E34" i="13"/>
  <c r="J8" i="10"/>
  <c r="I13"/>
  <c r="I6"/>
  <c r="G26" i="13"/>
  <c r="E24"/>
  <c r="E31"/>
  <c r="F7" i="4"/>
  <c r="J9" i="13"/>
  <c r="G14" i="3"/>
  <c r="F24" i="13"/>
  <c r="G25"/>
  <c r="L9" i="5"/>
  <c r="M8"/>
  <c r="U8" s="1"/>
  <c r="F12" i="13"/>
  <c r="F7" i="12"/>
  <c r="K14" i="5"/>
  <c r="S14" s="1"/>
  <c r="X14" s="1"/>
  <c r="AF14" s="1"/>
  <c r="AK14" s="1"/>
  <c r="AS14" s="1"/>
  <c r="AX14" s="1"/>
  <c r="L13"/>
  <c r="L14" s="1"/>
  <c r="T14" s="1"/>
  <c r="Y14" s="1"/>
  <c r="AG14" s="1"/>
  <c r="AL14" s="1"/>
  <c r="AT14" s="1"/>
  <c r="AY14" s="1"/>
  <c r="D12" i="13"/>
  <c r="J15" i="5"/>
  <c r="R15" s="1"/>
  <c r="S15" i="11" l="1"/>
  <c r="X18" i="5"/>
  <c r="AF18" s="1"/>
  <c r="AK18" s="1"/>
  <c r="AD18"/>
  <c r="AI18" s="1"/>
  <c r="S29"/>
  <c r="S30" s="1"/>
  <c r="X28"/>
  <c r="X29" s="1"/>
  <c r="X30" s="1"/>
  <c r="AE29"/>
  <c r="AE30" s="1"/>
  <c r="AJ28"/>
  <c r="I12" i="13"/>
  <c r="D5" i="9"/>
  <c r="E5" s="1"/>
  <c r="J12" i="13"/>
  <c r="K7" i="12"/>
  <c r="L7" s="1"/>
  <c r="E12" i="13"/>
  <c r="Y9" i="5"/>
  <c r="AG9" s="1"/>
  <c r="AL9" s="1"/>
  <c r="AT9" s="1"/>
  <c r="AX18"/>
  <c r="H12" i="13"/>
  <c r="T28" i="5"/>
  <c r="L6" i="8"/>
  <c r="E16" i="3"/>
  <c r="F16" s="1"/>
  <c r="R14" i="6"/>
  <c r="T7"/>
  <c r="P13"/>
  <c r="P12" i="8" s="1"/>
  <c r="Q16"/>
  <c r="Q15"/>
  <c r="Q13"/>
  <c r="Q7"/>
  <c r="Q9"/>
  <c r="Q8"/>
  <c r="Q14"/>
  <c r="Q11"/>
  <c r="Q10"/>
  <c r="AA15" i="11"/>
  <c r="T15"/>
  <c r="W32" i="5"/>
  <c r="L12" i="8"/>
  <c r="O6"/>
  <c r="F21" i="10"/>
  <c r="D22" s="1"/>
  <c r="F22" s="1"/>
  <c r="D23" s="1"/>
  <c r="C6" i="8"/>
  <c r="G7"/>
  <c r="F56" i="5"/>
  <c r="F30"/>
  <c r="T8" i="6"/>
  <c r="R6"/>
  <c r="R17"/>
  <c r="S17" s="1"/>
  <c r="I43" i="5"/>
  <c r="G44"/>
  <c r="G45" s="1"/>
  <c r="G34"/>
  <c r="G35" s="1"/>
  <c r="H20" i="11"/>
  <c r="I12"/>
  <c r="AN19" i="8"/>
  <c r="AO19" s="1"/>
  <c r="AP19" s="1"/>
  <c r="AR19" s="1"/>
  <c r="V19" i="13"/>
  <c r="V27" s="1"/>
  <c r="AE22"/>
  <c r="AA19"/>
  <c r="H45" i="5"/>
  <c r="H35"/>
  <c r="S20" i="13"/>
  <c r="Q19"/>
  <c r="Q27" s="1"/>
  <c r="I48" i="5"/>
  <c r="G49"/>
  <c r="G50" s="1"/>
  <c r="H50" s="1"/>
  <c r="I38"/>
  <c r="G39"/>
  <c r="G40" s="1"/>
  <c r="H40" s="1"/>
  <c r="G30"/>
  <c r="O27" i="13"/>
  <c r="S19"/>
  <c r="T20"/>
  <c r="U16" i="4"/>
  <c r="H20" i="13"/>
  <c r="I16" i="4"/>
  <c r="Q18" i="6"/>
  <c r="AJ19" i="8"/>
  <c r="AC25"/>
  <c r="AC26" s="1"/>
  <c r="AC23" s="1"/>
  <c r="AF25"/>
  <c r="H39" i="5"/>
  <c r="H29"/>
  <c r="D8" i="13"/>
  <c r="D6" i="12"/>
  <c r="D28" i="8"/>
  <c r="E57" i="5"/>
  <c r="AE9" i="13"/>
  <c r="G54" i="5"/>
  <c r="I53"/>
  <c r="H44"/>
  <c r="C9" i="12"/>
  <c r="F18" i="8"/>
  <c r="D18"/>
  <c r="E18"/>
  <c r="E19" i="6"/>
  <c r="E24" i="8" s="1"/>
  <c r="E23" s="1"/>
  <c r="F19" i="6"/>
  <c r="F24" i="8" s="1"/>
  <c r="F23" s="1"/>
  <c r="D19" i="6"/>
  <c r="D24" i="8" s="1"/>
  <c r="D23" s="1"/>
  <c r="D16" i="4"/>
  <c r="C20" i="13"/>
  <c r="C19" s="1"/>
  <c r="C27" s="1"/>
  <c r="C44" s="1"/>
  <c r="I9" i="11"/>
  <c r="I9" i="13" s="1"/>
  <c r="D37"/>
  <c r="D34" s="1"/>
  <c r="E8" i="4"/>
  <c r="E15" i="3"/>
  <c r="K12" i="10"/>
  <c r="L7"/>
  <c r="AP19" i="6"/>
  <c r="AP24" i="8" s="1"/>
  <c r="R19" i="6"/>
  <c r="R24" i="8" s="1"/>
  <c r="R26" s="1"/>
  <c r="R23" s="1"/>
  <c r="AO19" i="6"/>
  <c r="AO24" i="8" s="1"/>
  <c r="Q19" i="6"/>
  <c r="Q24" i="8" s="1"/>
  <c r="Q26" s="1"/>
  <c r="Q23" s="1"/>
  <c r="I19" i="6"/>
  <c r="I24" i="8" s="1"/>
  <c r="I26" s="1"/>
  <c r="I23" s="1"/>
  <c r="AB19" i="6"/>
  <c r="AB24" i="8" s="1"/>
  <c r="AB26" s="1"/>
  <c r="AB23" s="1"/>
  <c r="AY8" i="5"/>
  <c r="AZ8" s="1"/>
  <c r="AU8"/>
  <c r="AD10"/>
  <c r="U9"/>
  <c r="W20"/>
  <c r="K20"/>
  <c r="S20" s="1"/>
  <c r="X20" s="1"/>
  <c r="AF20" s="1"/>
  <c r="AK20" s="1"/>
  <c r="AS20" s="1"/>
  <c r="AX20" s="1"/>
  <c r="S19"/>
  <c r="AI20"/>
  <c r="AI19"/>
  <c r="U18"/>
  <c r="W18" s="1"/>
  <c r="AI15"/>
  <c r="AQ15" s="1"/>
  <c r="AI14"/>
  <c r="AH14"/>
  <c r="W15"/>
  <c r="Z14"/>
  <c r="U14"/>
  <c r="AL13"/>
  <c r="C22" i="8"/>
  <c r="C18" s="1"/>
  <c r="G20"/>
  <c r="H20"/>
  <c r="L20" s="1"/>
  <c r="L16" i="6"/>
  <c r="L29" i="5"/>
  <c r="M28"/>
  <c r="AD28" s="1"/>
  <c r="AI28" s="1"/>
  <c r="AQ28" s="1"/>
  <c r="N26"/>
  <c r="AA26" s="1"/>
  <c r="AN26" s="1"/>
  <c r="K13" i="13"/>
  <c r="K22" i="6"/>
  <c r="K10"/>
  <c r="J13" i="13"/>
  <c r="J22" i="6"/>
  <c r="J10"/>
  <c r="AV21"/>
  <c r="AE21"/>
  <c r="X21"/>
  <c r="P13" i="13"/>
  <c r="P22" i="6"/>
  <c r="P10"/>
  <c r="C13" i="13"/>
  <c r="C22" i="6"/>
  <c r="G11"/>
  <c r="G21"/>
  <c r="C12"/>
  <c r="AQ21"/>
  <c r="AJ21"/>
  <c r="O24" i="8"/>
  <c r="S21" i="6"/>
  <c r="O12"/>
  <c r="H24" i="8"/>
  <c r="L21" i="6"/>
  <c r="H12"/>
  <c r="AT19"/>
  <c r="AT24" i="8" s="1"/>
  <c r="AI19" i="6"/>
  <c r="AI24" i="8" s="1"/>
  <c r="V19" i="6"/>
  <c r="V24" i="8" s="1"/>
  <c r="K19" i="6"/>
  <c r="K24" i="8" s="1"/>
  <c r="E13" i="13"/>
  <c r="E22" i="6"/>
  <c r="E10"/>
  <c r="AU19"/>
  <c r="AU24" i="8" s="1"/>
  <c r="AH19" i="6"/>
  <c r="AH24" i="8" s="1"/>
  <c r="W19" i="6"/>
  <c r="W24" i="8" s="1"/>
  <c r="Q13" i="13"/>
  <c r="Q22" i="6"/>
  <c r="J19"/>
  <c r="J24" i="8" s="1"/>
  <c r="F13" i="13"/>
  <c r="F22" i="6"/>
  <c r="F10"/>
  <c r="AR19"/>
  <c r="AN19"/>
  <c r="AN24" i="8" s="1"/>
  <c r="AA19" i="6"/>
  <c r="T19"/>
  <c r="P19"/>
  <c r="P24" i="8" s="1"/>
  <c r="I13" i="13"/>
  <c r="I22" i="6"/>
  <c r="I10"/>
  <c r="C19"/>
  <c r="AS19"/>
  <c r="AS24" i="8" s="1"/>
  <c r="AM19" i="6"/>
  <c r="AF19"/>
  <c r="U19"/>
  <c r="U24" i="8" s="1"/>
  <c r="O13" i="13"/>
  <c r="O22" i="6"/>
  <c r="O10"/>
  <c r="H13" i="13"/>
  <c r="H22" i="6"/>
  <c r="H10"/>
  <c r="L11"/>
  <c r="D13" i="13"/>
  <c r="D22" i="6"/>
  <c r="D10"/>
  <c r="L19" i="5"/>
  <c r="T19" s="1"/>
  <c r="Y19" s="1"/>
  <c r="AG19" s="1"/>
  <c r="AL19" s="1"/>
  <c r="AT19" s="1"/>
  <c r="AY19" s="1"/>
  <c r="M18"/>
  <c r="F37" i="13"/>
  <c r="K9" i="11"/>
  <c r="G8" i="4"/>
  <c r="G15" i="3"/>
  <c r="H14"/>
  <c r="C14" s="1"/>
  <c r="G16"/>
  <c r="I16" s="1"/>
  <c r="J16" s="1"/>
  <c r="K16" s="1"/>
  <c r="L16" s="1"/>
  <c r="P16" s="1"/>
  <c r="Q16" s="1"/>
  <c r="R16" s="1"/>
  <c r="S16" s="1"/>
  <c r="U16" s="1"/>
  <c r="V16" s="1"/>
  <c r="W16" s="1"/>
  <c r="X16" s="1"/>
  <c r="AB16" s="1"/>
  <c r="AC16" s="1"/>
  <c r="AD16" s="1"/>
  <c r="AE16" s="1"/>
  <c r="AG16" s="1"/>
  <c r="AH16" s="1"/>
  <c r="AI16" s="1"/>
  <c r="AJ16" s="1"/>
  <c r="AN16" s="1"/>
  <c r="AO16" s="1"/>
  <c r="AP16" s="1"/>
  <c r="AQ16" s="1"/>
  <c r="AS16" s="1"/>
  <c r="AT16" s="1"/>
  <c r="AU16" s="1"/>
  <c r="AV16" s="1"/>
  <c r="AZ16" s="1"/>
  <c r="BA16" s="1"/>
  <c r="BB16" s="1"/>
  <c r="BC16" s="1"/>
  <c r="BE16" s="1"/>
  <c r="BF16" s="1"/>
  <c r="BG16" s="1"/>
  <c r="BH16" s="1"/>
  <c r="I11" i="10"/>
  <c r="I16" s="1"/>
  <c r="E20" i="13"/>
  <c r="F16" i="4"/>
  <c r="E30" i="13"/>
  <c r="G24"/>
  <c r="D32" i="10"/>
  <c r="J13"/>
  <c r="J11" s="1"/>
  <c r="J6"/>
  <c r="K8"/>
  <c r="L10" i="5"/>
  <c r="M9"/>
  <c r="K15"/>
  <c r="S15" s="1"/>
  <c r="X15" s="1"/>
  <c r="AF15" s="1"/>
  <c r="AK15" s="1"/>
  <c r="AS15" s="1"/>
  <c r="AX15" s="1"/>
  <c r="M13"/>
  <c r="AF28" l="1"/>
  <c r="AF29" s="1"/>
  <c r="AF30" s="1"/>
  <c r="H30"/>
  <c r="S27" i="13"/>
  <c r="AR28" i="5"/>
  <c r="AJ29"/>
  <c r="AJ30" s="1"/>
  <c r="Y18"/>
  <c r="AE18"/>
  <c r="AJ18" s="1"/>
  <c r="T29"/>
  <c r="T30" s="1"/>
  <c r="Y28"/>
  <c r="AG28" s="1"/>
  <c r="G18" i="8"/>
  <c r="AU9" i="5"/>
  <c r="AY9"/>
  <c r="AZ9" s="1"/>
  <c r="L12" i="13"/>
  <c r="Z9" i="5"/>
  <c r="AH9"/>
  <c r="AM9"/>
  <c r="Y29"/>
  <c r="Y30" s="1"/>
  <c r="AI29"/>
  <c r="H34"/>
  <c r="H15" i="3"/>
  <c r="C15" s="1"/>
  <c r="H49" i="5"/>
  <c r="L13" i="13"/>
  <c r="Q6" i="8"/>
  <c r="T14" i="6"/>
  <c r="AA7"/>
  <c r="U7"/>
  <c r="P15" i="8"/>
  <c r="P14"/>
  <c r="P7"/>
  <c r="P9"/>
  <c r="P16"/>
  <c r="P13"/>
  <c r="P11"/>
  <c r="P8"/>
  <c r="P10"/>
  <c r="R15" i="6"/>
  <c r="S14"/>
  <c r="AB15" i="11"/>
  <c r="U15"/>
  <c r="X32" i="5"/>
  <c r="O12" i="13"/>
  <c r="O7" i="12"/>
  <c r="AQ19" i="8"/>
  <c r="AD29" i="5"/>
  <c r="W29"/>
  <c r="W30" s="1"/>
  <c r="U28"/>
  <c r="U29" s="1"/>
  <c r="U30" s="1"/>
  <c r="V29"/>
  <c r="V30" s="1"/>
  <c r="AV15"/>
  <c r="I54"/>
  <c r="J53"/>
  <c r="D7" i="11"/>
  <c r="D29" i="8"/>
  <c r="D7" i="13"/>
  <c r="AG25" i="8"/>
  <c r="Q16" i="6"/>
  <c r="AA27" i="13"/>
  <c r="AE27" s="1"/>
  <c r="AE19"/>
  <c r="J12" i="11"/>
  <c r="I20"/>
  <c r="R18" i="6"/>
  <c r="R11"/>
  <c r="T6"/>
  <c r="U8"/>
  <c r="T17"/>
  <c r="E8" i="13"/>
  <c r="E7" s="1"/>
  <c r="E6" i="12"/>
  <c r="E28" i="8"/>
  <c r="F57" i="5"/>
  <c r="E7" i="11" s="1"/>
  <c r="C12" i="13"/>
  <c r="G12" s="1"/>
  <c r="G6" i="8"/>
  <c r="C7" i="12"/>
  <c r="G22" i="10"/>
  <c r="D17" s="1"/>
  <c r="AM14" i="5"/>
  <c r="AQ14"/>
  <c r="G55"/>
  <c r="H55" s="1"/>
  <c r="H54"/>
  <c r="E58"/>
  <c r="E117" i="2"/>
  <c r="AD25" i="8"/>
  <c r="AD26" s="1"/>
  <c r="AD23" s="1"/>
  <c r="H19" i="13"/>
  <c r="L20"/>
  <c r="X20"/>
  <c r="T19"/>
  <c r="G56" i="5"/>
  <c r="I39"/>
  <c r="J38"/>
  <c r="I49"/>
  <c r="J48"/>
  <c r="Q12" i="6"/>
  <c r="AS19" i="8"/>
  <c r="AT19" s="1"/>
  <c r="AU19" s="1"/>
  <c r="J33" i="5"/>
  <c r="I44"/>
  <c r="J43"/>
  <c r="F23" i="10"/>
  <c r="D24" s="1"/>
  <c r="F24" s="1"/>
  <c r="D25" s="1"/>
  <c r="F25" s="1"/>
  <c r="D26" s="1"/>
  <c r="D8" i="12"/>
  <c r="D20" s="1"/>
  <c r="M7" i="10"/>
  <c r="Q7" s="1"/>
  <c r="L12"/>
  <c r="M12" s="1"/>
  <c r="D31" i="13"/>
  <c r="D30" s="1"/>
  <c r="D38" s="1"/>
  <c r="E7" i="4"/>
  <c r="J16" i="10"/>
  <c r="M10" i="5"/>
  <c r="AI10"/>
  <c r="AQ10" s="1"/>
  <c r="X19"/>
  <c r="U19"/>
  <c r="AG18"/>
  <c r="Z18"/>
  <c r="AQ19"/>
  <c r="AQ20"/>
  <c r="AE20"/>
  <c r="AE15"/>
  <c r="AM13"/>
  <c r="G22" i="8"/>
  <c r="C16" i="13"/>
  <c r="C31" i="8"/>
  <c r="L30" i="5"/>
  <c r="M30" s="1"/>
  <c r="M29"/>
  <c r="A36"/>
  <c r="N31"/>
  <c r="AA31" s="1"/>
  <c r="AN31" s="1"/>
  <c r="AM24" i="8"/>
  <c r="AQ19" i="6"/>
  <c r="C24" i="8"/>
  <c r="G19" i="6"/>
  <c r="P26" i="8"/>
  <c r="P23" s="1"/>
  <c r="AA24"/>
  <c r="AE19" i="6"/>
  <c r="AR24" i="8"/>
  <c r="AV19" i="6"/>
  <c r="J26" i="8"/>
  <c r="J23" s="1"/>
  <c r="W26"/>
  <c r="W23" s="1"/>
  <c r="K26"/>
  <c r="K23" s="1"/>
  <c r="V26"/>
  <c r="V23" s="1"/>
  <c r="H11" i="11"/>
  <c r="L11" s="1"/>
  <c r="L12" i="6"/>
  <c r="L19"/>
  <c r="O11" i="11"/>
  <c r="S19" i="6"/>
  <c r="C11" i="11"/>
  <c r="G11" s="1"/>
  <c r="G12" i="6"/>
  <c r="C10"/>
  <c r="G10" s="1"/>
  <c r="G22"/>
  <c r="D6" i="9"/>
  <c r="E6" s="1"/>
  <c r="L10" i="6"/>
  <c r="L22"/>
  <c r="U26" i="8"/>
  <c r="U23" s="1"/>
  <c r="AF24"/>
  <c r="AJ19" i="6"/>
  <c r="T24" i="8"/>
  <c r="X19" i="6"/>
  <c r="H26" i="8"/>
  <c r="H23" s="1"/>
  <c r="L24"/>
  <c r="O26"/>
  <c r="S26" s="1"/>
  <c r="S24"/>
  <c r="L20" i="5"/>
  <c r="M19"/>
  <c r="E19" i="13"/>
  <c r="G12" i="14"/>
  <c r="L12"/>
  <c r="F31" i="13"/>
  <c r="G7" i="4"/>
  <c r="H8"/>
  <c r="F34" i="13"/>
  <c r="G34" s="1"/>
  <c r="G37"/>
  <c r="L8" i="10"/>
  <c r="K13"/>
  <c r="K6"/>
  <c r="E37"/>
  <c r="E35"/>
  <c r="E36"/>
  <c r="I21" i="8"/>
  <c r="E38" i="13"/>
  <c r="E34" i="10"/>
  <c r="E32"/>
  <c r="F32" s="1"/>
  <c r="D33" s="1"/>
  <c r="E33"/>
  <c r="H21" i="8"/>
  <c r="K9" i="13"/>
  <c r="L9" s="1"/>
  <c r="L9" i="11"/>
  <c r="L15" i="5"/>
  <c r="M14"/>
  <c r="AK28" l="1"/>
  <c r="AS28" s="1"/>
  <c r="O23" i="8"/>
  <c r="AR29" i="5"/>
  <c r="AR30" s="1"/>
  <c r="AW28"/>
  <c r="AW29" s="1"/>
  <c r="AW30" s="1"/>
  <c r="Z28"/>
  <c r="AV28"/>
  <c r="AV29" s="1"/>
  <c r="AQ29"/>
  <c r="AQ30" s="1"/>
  <c r="AL28"/>
  <c r="AT28" s="1"/>
  <c r="AG29"/>
  <c r="AG30" s="1"/>
  <c r="AI30"/>
  <c r="L26" i="8"/>
  <c r="R13" i="6"/>
  <c r="R12" i="8" s="1"/>
  <c r="S15" i="6"/>
  <c r="P6" i="8"/>
  <c r="U14" i="6"/>
  <c r="U15" s="1"/>
  <c r="U13" s="1"/>
  <c r="U12" i="8" s="1"/>
  <c r="AB7" i="6"/>
  <c r="V7"/>
  <c r="T15"/>
  <c r="T13" s="1"/>
  <c r="T12" i="8" s="1"/>
  <c r="AF7" i="6"/>
  <c r="AA14"/>
  <c r="Q12" i="13"/>
  <c r="Q7" i="12"/>
  <c r="AC15" i="11"/>
  <c r="V15"/>
  <c r="Y32" i="5"/>
  <c r="L23" i="8"/>
  <c r="G25" i="10"/>
  <c r="E17" s="1"/>
  <c r="D10" i="11" s="1"/>
  <c r="J44" i="5"/>
  <c r="J45" s="1"/>
  <c r="K43"/>
  <c r="J34"/>
  <c r="J35" s="1"/>
  <c r="K33"/>
  <c r="AV19" i="8"/>
  <c r="I50" i="5"/>
  <c r="I40"/>
  <c r="X19" i="13"/>
  <c r="T27"/>
  <c r="X27" s="1"/>
  <c r="AE25" i="8"/>
  <c r="C8" i="12"/>
  <c r="G7"/>
  <c r="F117" i="2"/>
  <c r="E8" i="12"/>
  <c r="E20" s="1"/>
  <c r="T18" i="6"/>
  <c r="T16" s="1"/>
  <c r="T11"/>
  <c r="R16"/>
  <c r="R20" i="8" s="1"/>
  <c r="R12" i="6"/>
  <c r="R10" s="1"/>
  <c r="Q20" i="8"/>
  <c r="AH25"/>
  <c r="AG26"/>
  <c r="AG23" s="1"/>
  <c r="J54" i="5"/>
  <c r="J55" s="1"/>
  <c r="K53"/>
  <c r="S23" i="8"/>
  <c r="F26" i="10"/>
  <c r="D27" s="1"/>
  <c r="F27" s="1"/>
  <c r="D28" s="1"/>
  <c r="F28" s="1"/>
  <c r="D29" s="1"/>
  <c r="I45" i="5"/>
  <c r="Q11" i="11"/>
  <c r="Q10" i="6"/>
  <c r="J49" i="5"/>
  <c r="J50" s="1"/>
  <c r="K48"/>
  <c r="J39"/>
  <c r="J40" s="1"/>
  <c r="K38"/>
  <c r="F8" i="13"/>
  <c r="F7" s="1"/>
  <c r="G7" s="1"/>
  <c r="F6" i="12"/>
  <c r="F28" i="8"/>
  <c r="G28" s="1"/>
  <c r="G57" i="5"/>
  <c r="F7" i="11" s="1"/>
  <c r="H56" i="5"/>
  <c r="L19" i="13"/>
  <c r="H27"/>
  <c r="L27" s="1"/>
  <c r="AV14" i="5"/>
  <c r="AZ14" s="1"/>
  <c r="AU14"/>
  <c r="C10" i="11"/>
  <c r="F58" i="5"/>
  <c r="E29" i="8"/>
  <c r="E27" s="1"/>
  <c r="V8" i="6"/>
  <c r="U6"/>
  <c r="U17"/>
  <c r="R22"/>
  <c r="S22" s="1"/>
  <c r="S11"/>
  <c r="R13" i="13"/>
  <c r="J20" i="11"/>
  <c r="K12"/>
  <c r="S18" i="6"/>
  <c r="D27" i="8"/>
  <c r="G7" i="11"/>
  <c r="I55" i="5"/>
  <c r="AD30"/>
  <c r="D20" i="13"/>
  <c r="D19" s="1"/>
  <c r="D27" s="1"/>
  <c r="E16" i="4"/>
  <c r="Q12" i="10"/>
  <c r="R7"/>
  <c r="Y10" i="5"/>
  <c r="U10"/>
  <c r="M20"/>
  <c r="T20"/>
  <c r="AJ20"/>
  <c r="AV20"/>
  <c r="AV19"/>
  <c r="AL18"/>
  <c r="AQ18" s="1"/>
  <c r="AV18" s="1"/>
  <c r="AH18"/>
  <c r="AF19"/>
  <c r="Z19"/>
  <c r="AJ15"/>
  <c r="AR15" s="1"/>
  <c r="M15"/>
  <c r="T15"/>
  <c r="AY13"/>
  <c r="AZ13" s="1"/>
  <c r="AU13"/>
  <c r="C11" i="13"/>
  <c r="A41" i="5"/>
  <c r="N36"/>
  <c r="AA36" s="1"/>
  <c r="AN36" s="1"/>
  <c r="AF26" i="8"/>
  <c r="AF23" s="1"/>
  <c r="AJ24"/>
  <c r="T26"/>
  <c r="X26" s="1"/>
  <c r="X24"/>
  <c r="T23"/>
  <c r="X23" s="1"/>
  <c r="AV24"/>
  <c r="AA26"/>
  <c r="AE26" s="1"/>
  <c r="AE24"/>
  <c r="AA23"/>
  <c r="AE23" s="1"/>
  <c r="G24"/>
  <c r="C23"/>
  <c r="AQ24"/>
  <c r="F33" i="10"/>
  <c r="D34" s="1"/>
  <c r="F34" s="1"/>
  <c r="D35" s="1"/>
  <c r="K11"/>
  <c r="C8" i="4"/>
  <c r="H7"/>
  <c r="F30" i="13"/>
  <c r="G31"/>
  <c r="H22" i="8"/>
  <c r="I22"/>
  <c r="I18" s="1"/>
  <c r="L13" i="10"/>
  <c r="L11" s="1"/>
  <c r="L6"/>
  <c r="M8"/>
  <c r="F20" i="13"/>
  <c r="G16" i="4"/>
  <c r="E27" i="13"/>
  <c r="AK29" i="5" l="1"/>
  <c r="AK30" s="1"/>
  <c r="AH28"/>
  <c r="Z29"/>
  <c r="Z30" s="1"/>
  <c r="Z32"/>
  <c r="AH30"/>
  <c r="AH29"/>
  <c r="AV30"/>
  <c r="AX28"/>
  <c r="AX29" s="1"/>
  <c r="AX30" s="1"/>
  <c r="AS29"/>
  <c r="AS30" s="1"/>
  <c r="AL29"/>
  <c r="AM28"/>
  <c r="G8" i="13"/>
  <c r="S20" i="8"/>
  <c r="AF14" i="6"/>
  <c r="AM7"/>
  <c r="T16" i="8"/>
  <c r="T13"/>
  <c r="T9"/>
  <c r="T10"/>
  <c r="T15"/>
  <c r="T14"/>
  <c r="T7"/>
  <c r="T8"/>
  <c r="T11"/>
  <c r="AB14" i="6"/>
  <c r="AB15" s="1"/>
  <c r="AB13" s="1"/>
  <c r="AB12" i="8" s="1"/>
  <c r="AG7" i="6"/>
  <c r="P12" i="13"/>
  <c r="P7" i="12"/>
  <c r="AA15" i="6"/>
  <c r="V14"/>
  <c r="AC7"/>
  <c r="W7"/>
  <c r="U14" i="8"/>
  <c r="U13"/>
  <c r="U16"/>
  <c r="U15"/>
  <c r="U7"/>
  <c r="U9"/>
  <c r="U8"/>
  <c r="U10"/>
  <c r="U11"/>
  <c r="R16"/>
  <c r="S16" s="1"/>
  <c r="R13"/>
  <c r="S13" s="1"/>
  <c r="R15"/>
  <c r="S15" s="1"/>
  <c r="R14"/>
  <c r="S14" s="1"/>
  <c r="R7"/>
  <c r="S7" s="1"/>
  <c r="R9"/>
  <c r="S9" s="1"/>
  <c r="R8"/>
  <c r="S8" s="1"/>
  <c r="R10"/>
  <c r="S10" s="1"/>
  <c r="R11"/>
  <c r="S11" s="1"/>
  <c r="S13" i="6"/>
  <c r="AD15" i="11"/>
  <c r="AE15" s="1"/>
  <c r="AI32" i="5"/>
  <c r="AH32"/>
  <c r="W15" i="11"/>
  <c r="X15" s="1"/>
  <c r="G28" i="10"/>
  <c r="F17" s="1"/>
  <c r="E10" i="11" s="1"/>
  <c r="G58" i="5"/>
  <c r="H58" s="1"/>
  <c r="S16" i="6"/>
  <c r="E9" i="12"/>
  <c r="E31" i="8"/>
  <c r="E16" i="13"/>
  <c r="E11" s="1"/>
  <c r="E17" s="1"/>
  <c r="E28" s="1"/>
  <c r="E17" i="8"/>
  <c r="AW15" i="5"/>
  <c r="K20" i="11"/>
  <c r="L20" s="1"/>
  <c r="O12"/>
  <c r="L12"/>
  <c r="U18" i="6"/>
  <c r="U12" s="1"/>
  <c r="U11" i="11" s="1"/>
  <c r="U11" i="6"/>
  <c r="V6"/>
  <c r="W8"/>
  <c r="V17"/>
  <c r="G117" i="2"/>
  <c r="F8" i="12"/>
  <c r="F20" s="1"/>
  <c r="G6"/>
  <c r="K39" i="5"/>
  <c r="K40" s="1"/>
  <c r="L38"/>
  <c r="K49"/>
  <c r="K50" s="1"/>
  <c r="L48"/>
  <c r="S10" i="6"/>
  <c r="R11" i="11"/>
  <c r="S11" s="1"/>
  <c r="S12" i="6"/>
  <c r="T22"/>
  <c r="T13" i="13"/>
  <c r="D9" i="12"/>
  <c r="D31" i="8"/>
  <c r="D16" i="13"/>
  <c r="D17" i="8"/>
  <c r="F29"/>
  <c r="G29" s="1"/>
  <c r="F29" i="10"/>
  <c r="D30" s="1"/>
  <c r="F30" s="1"/>
  <c r="D31" s="1"/>
  <c r="F31" s="1"/>
  <c r="K54" i="5"/>
  <c r="L53"/>
  <c r="H57"/>
  <c r="AI25" i="8"/>
  <c r="AH26"/>
  <c r="T20"/>
  <c r="T12" i="6"/>
  <c r="C20" i="12"/>
  <c r="C18" s="1"/>
  <c r="K34" i="5"/>
  <c r="K35" s="1"/>
  <c r="L33"/>
  <c r="K44"/>
  <c r="L43"/>
  <c r="G34" i="10"/>
  <c r="I17" s="1"/>
  <c r="H10" i="11" s="1"/>
  <c r="R12" i="10"/>
  <c r="S7"/>
  <c r="D44" i="13"/>
  <c r="E44" s="1"/>
  <c r="AG10" i="5"/>
  <c r="Z10"/>
  <c r="Y20"/>
  <c r="U20"/>
  <c r="AK19"/>
  <c r="AH19"/>
  <c r="AM18"/>
  <c r="AR20"/>
  <c r="Y15"/>
  <c r="U15"/>
  <c r="C17" i="13"/>
  <c r="A46" i="5"/>
  <c r="N41"/>
  <c r="AA41" s="1"/>
  <c r="AN41" s="1"/>
  <c r="G23" i="8"/>
  <c r="C17"/>
  <c r="Q8" i="10"/>
  <c r="M6"/>
  <c r="E43"/>
  <c r="E41"/>
  <c r="E42"/>
  <c r="K21" i="8"/>
  <c r="F38" i="13"/>
  <c r="G38" s="1"/>
  <c r="G30"/>
  <c r="E40" i="10"/>
  <c r="E38"/>
  <c r="E39"/>
  <c r="J21" i="8"/>
  <c r="K16" i="10"/>
  <c r="L16" s="1"/>
  <c r="M16" s="1"/>
  <c r="F19" i="13"/>
  <c r="G20"/>
  <c r="H18" i="8"/>
  <c r="C7" i="4"/>
  <c r="H16"/>
  <c r="C16" s="1"/>
  <c r="M13" i="10"/>
  <c r="M11" s="1"/>
  <c r="L21" i="8" s="1"/>
  <c r="F35" i="10"/>
  <c r="D36" s="1"/>
  <c r="F36" s="1"/>
  <c r="D37" s="1"/>
  <c r="F37" s="1"/>
  <c r="D38" s="1"/>
  <c r="AY28" i="5" l="1"/>
  <c r="AU28"/>
  <c r="AU29" s="1"/>
  <c r="AU30" s="1"/>
  <c r="AT29"/>
  <c r="AT30" s="1"/>
  <c r="AL30"/>
  <c r="AM30" s="1"/>
  <c r="AM29"/>
  <c r="U6" i="8"/>
  <c r="AH7" i="6"/>
  <c r="AC14"/>
  <c r="AB16" i="8"/>
  <c r="AB13"/>
  <c r="AB15"/>
  <c r="AB14"/>
  <c r="AB7"/>
  <c r="AB9"/>
  <c r="AB8"/>
  <c r="AB10"/>
  <c r="AB11"/>
  <c r="AM14" i="6"/>
  <c r="AR7"/>
  <c r="AR14" s="1"/>
  <c r="R6" i="8"/>
  <c r="S12"/>
  <c r="W14" i="6"/>
  <c r="W15" s="1"/>
  <c r="W13" s="1"/>
  <c r="W12" i="8" s="1"/>
  <c r="AD7" i="6"/>
  <c r="V15"/>
  <c r="AA13"/>
  <c r="AA12" i="8" s="1"/>
  <c r="AG14" i="6"/>
  <c r="AG15" s="1"/>
  <c r="AG13" s="1"/>
  <c r="AG12" i="8" s="1"/>
  <c r="AN7" i="6"/>
  <c r="T6" i="8"/>
  <c r="AF15" i="6"/>
  <c r="AF13" s="1"/>
  <c r="AF12" i="8" s="1"/>
  <c r="AF15" i="11"/>
  <c r="AJ32" i="5"/>
  <c r="E39" i="13"/>
  <c r="G8" i="12"/>
  <c r="F27" i="8"/>
  <c r="G27" s="1"/>
  <c r="G31" s="1"/>
  <c r="U16" i="6"/>
  <c r="U20" i="8" s="1"/>
  <c r="L44" i="5"/>
  <c r="L45" s="1"/>
  <c r="M43"/>
  <c r="Q43" s="1"/>
  <c r="L34"/>
  <c r="L35" s="1"/>
  <c r="M33"/>
  <c r="Q33" s="1"/>
  <c r="V33" s="1"/>
  <c r="C12" i="14"/>
  <c r="D18" i="12"/>
  <c r="C7" i="14"/>
  <c r="T11" i="11"/>
  <c r="AH23" i="8"/>
  <c r="AM25"/>
  <c r="AI26"/>
  <c r="AI23" s="1"/>
  <c r="AJ25"/>
  <c r="L54" i="5"/>
  <c r="L55" s="1"/>
  <c r="M53"/>
  <c r="Q53" s="1"/>
  <c r="G31" i="10"/>
  <c r="G17" s="1"/>
  <c r="T10" i="6"/>
  <c r="L49" i="5"/>
  <c r="M48"/>
  <c r="Q48" s="1"/>
  <c r="L39"/>
  <c r="M38"/>
  <c r="Q38" s="1"/>
  <c r="AA8" i="6"/>
  <c r="W6"/>
  <c r="W17"/>
  <c r="U22"/>
  <c r="U13" i="13"/>
  <c r="U10" i="6"/>
  <c r="O20" i="11"/>
  <c r="P12"/>
  <c r="K45" i="5"/>
  <c r="M45" s="1"/>
  <c r="M44"/>
  <c r="M35"/>
  <c r="K55"/>
  <c r="F31" i="8"/>
  <c r="F16" i="13"/>
  <c r="F11" s="1"/>
  <c r="F17" s="1"/>
  <c r="D10" i="12"/>
  <c r="D30" i="8"/>
  <c r="D8" i="11" s="1"/>
  <c r="D6" s="1"/>
  <c r="D13" i="14"/>
  <c r="D14" s="1"/>
  <c r="D11" i="13"/>
  <c r="V18" i="6"/>
  <c r="V11"/>
  <c r="E13" i="14"/>
  <c r="E14" s="1"/>
  <c r="E10" i="12"/>
  <c r="E30" i="8"/>
  <c r="E8" i="11" s="1"/>
  <c r="E6" s="1"/>
  <c r="S12" i="10"/>
  <c r="T7"/>
  <c r="AL10" i="5"/>
  <c r="AH10"/>
  <c r="AW20"/>
  <c r="AY18"/>
  <c r="AZ18" s="1"/>
  <c r="AU18"/>
  <c r="AS19"/>
  <c r="AM19"/>
  <c r="AG20"/>
  <c r="Z20"/>
  <c r="AG15"/>
  <c r="Z15"/>
  <c r="C42" i="13"/>
  <c r="C28"/>
  <c r="C43" s="1"/>
  <c r="C39"/>
  <c r="C40" s="1"/>
  <c r="A51" i="5"/>
  <c r="N46"/>
  <c r="AA46" s="1"/>
  <c r="AN46" s="1"/>
  <c r="C10" i="12"/>
  <c r="C13" i="14"/>
  <c r="C14" s="1"/>
  <c r="C30" i="8"/>
  <c r="F38" i="10"/>
  <c r="D39" s="1"/>
  <c r="F39" s="1"/>
  <c r="D40" s="1"/>
  <c r="F40" s="1"/>
  <c r="D41" s="1"/>
  <c r="K22" i="8"/>
  <c r="K18" s="1"/>
  <c r="G37" i="10"/>
  <c r="J17" s="1"/>
  <c r="F27" i="13"/>
  <c r="F44" s="1"/>
  <c r="G19"/>
  <c r="J22" i="8"/>
  <c r="Q13" i="10"/>
  <c r="R8"/>
  <c r="Q6"/>
  <c r="F9" i="12" l="1"/>
  <c r="G9" s="1"/>
  <c r="F17" i="8"/>
  <c r="G17" s="1"/>
  <c r="G13" i="14" s="1"/>
  <c r="M55" i="5"/>
  <c r="AY29"/>
  <c r="AZ28"/>
  <c r="G16" i="13"/>
  <c r="AF7" i="8"/>
  <c r="AF9"/>
  <c r="AF8"/>
  <c r="AF10"/>
  <c r="AF11"/>
  <c r="AF13"/>
  <c r="AF14"/>
  <c r="AF15"/>
  <c r="AF16"/>
  <c r="T7" i="12"/>
  <c r="T12" i="13"/>
  <c r="AG14" i="8"/>
  <c r="AG13"/>
  <c r="AG7"/>
  <c r="AG9"/>
  <c r="AG8"/>
  <c r="AG16"/>
  <c r="AG15"/>
  <c r="AG11"/>
  <c r="AG10"/>
  <c r="AA16"/>
  <c r="AA15"/>
  <c r="AA13"/>
  <c r="AA7"/>
  <c r="AA8"/>
  <c r="AA11"/>
  <c r="AA14"/>
  <c r="AA9"/>
  <c r="AA10"/>
  <c r="V13" i="6"/>
  <c r="V12" i="8" s="1"/>
  <c r="X15" i="6"/>
  <c r="W14" i="8"/>
  <c r="W13"/>
  <c r="W7"/>
  <c r="W9"/>
  <c r="W8"/>
  <c r="W16"/>
  <c r="W15"/>
  <c r="W11"/>
  <c r="W10"/>
  <c r="R12" i="13"/>
  <c r="S12" s="1"/>
  <c r="R7" i="12"/>
  <c r="S7" s="1"/>
  <c r="S6" i="8"/>
  <c r="AM15" i="6"/>
  <c r="AB6" i="8"/>
  <c r="AH14" i="6"/>
  <c r="AO7"/>
  <c r="AS7"/>
  <c r="AS14" s="1"/>
  <c r="AS15" s="1"/>
  <c r="AS13" s="1"/>
  <c r="AS12" i="8" s="1"/>
  <c r="AN14" i="6"/>
  <c r="AN15" s="1"/>
  <c r="AN13" s="1"/>
  <c r="AN12" i="8" s="1"/>
  <c r="X14" i="6"/>
  <c r="AD14"/>
  <c r="AD15" s="1"/>
  <c r="AD13" s="1"/>
  <c r="AD12" i="8" s="1"/>
  <c r="AI7" i="6"/>
  <c r="AR15"/>
  <c r="AR13" s="1"/>
  <c r="AR12" i="8" s="1"/>
  <c r="AC15" i="6"/>
  <c r="U7" i="12"/>
  <c r="U12" i="13"/>
  <c r="M34" i="5"/>
  <c r="AG15" i="11"/>
  <c r="AK32" i="5"/>
  <c r="E11" i="12"/>
  <c r="E19" s="1"/>
  <c r="V13" i="13"/>
  <c r="V22" i="6"/>
  <c r="P20" i="11"/>
  <c r="Q12"/>
  <c r="Q39" i="5"/>
  <c r="R38"/>
  <c r="Q49"/>
  <c r="R48"/>
  <c r="F10" i="11"/>
  <c r="H17" i="10"/>
  <c r="AJ23" i="8"/>
  <c r="D12" i="14"/>
  <c r="D7"/>
  <c r="E18" i="12"/>
  <c r="AM10" i="5"/>
  <c r="AT10"/>
  <c r="AU10" s="1"/>
  <c r="V16" i="6"/>
  <c r="V12"/>
  <c r="D17" i="13"/>
  <c r="G11"/>
  <c r="D11" i="12"/>
  <c r="D19" s="1"/>
  <c r="F10"/>
  <c r="G10" s="1"/>
  <c r="G20" s="1"/>
  <c r="M54" i="5"/>
  <c r="W18" i="6"/>
  <c r="W11"/>
  <c r="X17"/>
  <c r="AB8"/>
  <c r="AA6"/>
  <c r="AA17"/>
  <c r="L40" i="5"/>
  <c r="M40" s="1"/>
  <c r="M39"/>
  <c r="L50"/>
  <c r="M50" s="1"/>
  <c r="M49"/>
  <c r="Q54"/>
  <c r="R53"/>
  <c r="AN25" i="8"/>
  <c r="AM26"/>
  <c r="AM23" s="1"/>
  <c r="Q34" i="5"/>
  <c r="Q35" s="1"/>
  <c r="R33"/>
  <c r="W33" s="1"/>
  <c r="Q44"/>
  <c r="R43"/>
  <c r="AJ26" i="8"/>
  <c r="T12" i="10"/>
  <c r="U12" s="1"/>
  <c r="U7"/>
  <c r="V7"/>
  <c r="AL20" i="5"/>
  <c r="AH20"/>
  <c r="AX19"/>
  <c r="AZ19" s="1"/>
  <c r="AU19"/>
  <c r="AL15"/>
  <c r="AH15"/>
  <c r="A56"/>
  <c r="N51"/>
  <c r="AA51" s="1"/>
  <c r="AN51" s="1"/>
  <c r="C8" i="11"/>
  <c r="Q11" i="10"/>
  <c r="L22" i="8"/>
  <c r="F41" i="10"/>
  <c r="D42" s="1"/>
  <c r="F42" s="1"/>
  <c r="D43" s="1"/>
  <c r="F43" s="1"/>
  <c r="D44" s="1"/>
  <c r="R6"/>
  <c r="R13"/>
  <c r="R11" s="1"/>
  <c r="S8"/>
  <c r="J18" i="8"/>
  <c r="I10" i="11"/>
  <c r="G40" i="10"/>
  <c r="K17" s="1"/>
  <c r="J10" i="11" s="1"/>
  <c r="F28" i="13"/>
  <c r="F39"/>
  <c r="G27"/>
  <c r="AE14" i="6" l="1"/>
  <c r="F30" i="8"/>
  <c r="F8" i="11" s="1"/>
  <c r="F6" s="1"/>
  <c r="F13" i="14"/>
  <c r="F14" s="1"/>
  <c r="AG6" i="8"/>
  <c r="AG7" i="12" s="1"/>
  <c r="AY30" i="5"/>
  <c r="AZ30" s="1"/>
  <c r="AZ29"/>
  <c r="W6" i="8"/>
  <c r="W7" i="12" s="1"/>
  <c r="AC13" i="6"/>
  <c r="AC12" i="8" s="1"/>
  <c r="AE15" i="6"/>
  <c r="AI14"/>
  <c r="AI15" s="1"/>
  <c r="AI13" s="1"/>
  <c r="AI12" i="8" s="1"/>
  <c r="AP7" i="6"/>
  <c r="AS14" i="8"/>
  <c r="AS13"/>
  <c r="AS7"/>
  <c r="AS9"/>
  <c r="AS8"/>
  <c r="AS16"/>
  <c r="AS15"/>
  <c r="AS11"/>
  <c r="AS10"/>
  <c r="AO14" i="6"/>
  <c r="AO15" s="1"/>
  <c r="AO13" s="1"/>
  <c r="AO12" i="8" s="1"/>
  <c r="AT7" i="6"/>
  <c r="AT14" s="1"/>
  <c r="AB12" i="13"/>
  <c r="AB7" i="12"/>
  <c r="V16" i="8"/>
  <c r="X16" s="1"/>
  <c r="V13"/>
  <c r="X13" s="1"/>
  <c r="V7"/>
  <c r="X7" s="1"/>
  <c r="V9"/>
  <c r="X9" s="1"/>
  <c r="V8"/>
  <c r="X8" s="1"/>
  <c r="V15"/>
  <c r="X15" s="1"/>
  <c r="V14"/>
  <c r="X14" s="1"/>
  <c r="V11"/>
  <c r="X11" s="1"/>
  <c r="V10"/>
  <c r="X10" s="1"/>
  <c r="X13" i="6"/>
  <c r="AA6" i="8"/>
  <c r="AR15"/>
  <c r="AR16"/>
  <c r="AR9"/>
  <c r="AR10"/>
  <c r="AR13"/>
  <c r="AR14"/>
  <c r="AR7"/>
  <c r="AR8"/>
  <c r="AR11"/>
  <c r="AD13"/>
  <c r="AD14"/>
  <c r="AD7"/>
  <c r="AD9"/>
  <c r="AD8"/>
  <c r="AD15"/>
  <c r="AD16"/>
  <c r="AD11"/>
  <c r="AD10"/>
  <c r="AN13"/>
  <c r="AN14"/>
  <c r="AN15"/>
  <c r="AN16"/>
  <c r="AN7"/>
  <c r="AN9"/>
  <c r="AN8"/>
  <c r="AN10"/>
  <c r="AN11"/>
  <c r="AH15" i="6"/>
  <c r="AM13"/>
  <c r="AM12" i="8" s="1"/>
  <c r="AF6"/>
  <c r="AH15" i="11"/>
  <c r="AL32" i="5"/>
  <c r="AM15"/>
  <c r="AT15"/>
  <c r="R34"/>
  <c r="R35" s="1"/>
  <c r="S33"/>
  <c r="X33" s="1"/>
  <c r="R54"/>
  <c r="R55" s="1"/>
  <c r="S53"/>
  <c r="W16" i="6"/>
  <c r="W20" i="8" s="1"/>
  <c r="W12" i="6"/>
  <c r="W11" i="11" s="1"/>
  <c r="F11" i="12"/>
  <c r="F19" s="1"/>
  <c r="D13" i="11"/>
  <c r="D21" i="12"/>
  <c r="E111" i="2" s="1"/>
  <c r="D28" i="13"/>
  <c r="D43" s="1"/>
  <c r="E43" s="1"/>
  <c r="F43" s="1"/>
  <c r="D39"/>
  <c r="D40" s="1"/>
  <c r="E40" s="1"/>
  <c r="F40" s="1"/>
  <c r="G40" s="1"/>
  <c r="G17"/>
  <c r="V11" i="11"/>
  <c r="X11" s="1"/>
  <c r="X12" i="6"/>
  <c r="E12" i="14"/>
  <c r="F18" i="12"/>
  <c r="E7" i="14"/>
  <c r="G10" i="11"/>
  <c r="Q50" i="5"/>
  <c r="Q40"/>
  <c r="E21" i="12"/>
  <c r="F111" i="2" s="1"/>
  <c r="E13" i="11"/>
  <c r="R44" i="5"/>
  <c r="R45" s="1"/>
  <c r="S43"/>
  <c r="G43" i="10"/>
  <c r="L17" s="1"/>
  <c r="K10" i="11" s="1"/>
  <c r="L10" s="1"/>
  <c r="Q45" i="5"/>
  <c r="AR25" i="8"/>
  <c r="AO25"/>
  <c r="AN26"/>
  <c r="AN23" s="1"/>
  <c r="Q55" i="5"/>
  <c r="AA18" i="6"/>
  <c r="AA11"/>
  <c r="AB6"/>
  <c r="AC8"/>
  <c r="AB17"/>
  <c r="W13" i="13"/>
  <c r="X13" s="1"/>
  <c r="W10" i="6"/>
  <c r="W22"/>
  <c r="X22" s="1"/>
  <c r="X18"/>
  <c r="V20" i="8"/>
  <c r="X20" s="1"/>
  <c r="X16" i="6"/>
  <c r="R49" i="5"/>
  <c r="R50" s="1"/>
  <c r="S48"/>
  <c r="R39"/>
  <c r="R40" s="1"/>
  <c r="S38"/>
  <c r="Q20" i="11"/>
  <c r="R12"/>
  <c r="X11" i="6"/>
  <c r="V10"/>
  <c r="X10" s="1"/>
  <c r="D42" i="13"/>
  <c r="E42" s="1"/>
  <c r="F42" s="1"/>
  <c r="V12" i="10"/>
  <c r="W7"/>
  <c r="AT20" i="5"/>
  <c r="AM20"/>
  <c r="A58"/>
  <c r="N58" s="1"/>
  <c r="AA58" s="1"/>
  <c r="AN58" s="1"/>
  <c r="N56"/>
  <c r="AA56" s="1"/>
  <c r="AN56" s="1"/>
  <c r="C6" i="11"/>
  <c r="S13" i="10"/>
  <c r="S11" s="1"/>
  <c r="T8"/>
  <c r="S6"/>
  <c r="E46"/>
  <c r="E44"/>
  <c r="F44" s="1"/>
  <c r="D45" s="1"/>
  <c r="E45"/>
  <c r="O21" i="8"/>
  <c r="Q16" i="10"/>
  <c r="R16" s="1"/>
  <c r="L18" i="8"/>
  <c r="E49" i="10"/>
  <c r="E47"/>
  <c r="E48"/>
  <c r="P21" i="8"/>
  <c r="M17" i="10" l="1"/>
  <c r="F45"/>
  <c r="D46" s="1"/>
  <c r="F46" s="1"/>
  <c r="G8" i="11"/>
  <c r="AJ14" i="6"/>
  <c r="G30" i="8"/>
  <c r="G39" i="13"/>
  <c r="AG12"/>
  <c r="W12"/>
  <c r="AM7" i="8"/>
  <c r="AM9"/>
  <c r="AM8"/>
  <c r="AM11"/>
  <c r="AM10"/>
  <c r="AM14"/>
  <c r="AM13"/>
  <c r="AM16"/>
  <c r="AM15"/>
  <c r="AD6"/>
  <c r="AT15" i="6"/>
  <c r="AI14" i="8"/>
  <c r="AI13"/>
  <c r="AI16"/>
  <c r="AI15"/>
  <c r="AI7"/>
  <c r="AI9"/>
  <c r="AI8"/>
  <c r="AI10"/>
  <c r="AI11"/>
  <c r="AF7" i="12"/>
  <c r="AF12" i="13"/>
  <c r="AH13" i="6"/>
  <c r="AH12" i="8" s="1"/>
  <c r="AJ15" i="6"/>
  <c r="AA12" i="13"/>
  <c r="AA7" i="12"/>
  <c r="V6" i="8"/>
  <c r="X12"/>
  <c r="AO14"/>
  <c r="AO13"/>
  <c r="AO16"/>
  <c r="AO15"/>
  <c r="AO7"/>
  <c r="AO9"/>
  <c r="AO8"/>
  <c r="AO10"/>
  <c r="AO11"/>
  <c r="AU7" i="6"/>
  <c r="AU14" s="1"/>
  <c r="AU15" s="1"/>
  <c r="AU13" s="1"/>
  <c r="AU12" i="8" s="1"/>
  <c r="AP14" i="6"/>
  <c r="AC14" i="8"/>
  <c r="AE14" s="1"/>
  <c r="AC13"/>
  <c r="AE13" s="1"/>
  <c r="AC16"/>
  <c r="AE16" s="1"/>
  <c r="AC15"/>
  <c r="AE15" s="1"/>
  <c r="AC7"/>
  <c r="AE7" s="1"/>
  <c r="AC9"/>
  <c r="AE9" s="1"/>
  <c r="AC8"/>
  <c r="AE8" s="1"/>
  <c r="AC10"/>
  <c r="AE10" s="1"/>
  <c r="AC11"/>
  <c r="AE11" s="1"/>
  <c r="AE13" i="6"/>
  <c r="AI15" i="11"/>
  <c r="AJ15" s="1"/>
  <c r="AQ32" i="5"/>
  <c r="AM32"/>
  <c r="G28" i="13"/>
  <c r="T12" i="11"/>
  <c r="R20"/>
  <c r="S12"/>
  <c r="S39" i="5"/>
  <c r="S40" s="1"/>
  <c r="T38"/>
  <c r="S49"/>
  <c r="S50" s="1"/>
  <c r="T48"/>
  <c r="AB18" i="6"/>
  <c r="AB12" s="1"/>
  <c r="AB11" i="11" s="1"/>
  <c r="AB11" i="6"/>
  <c r="AS25" i="8"/>
  <c r="AR26"/>
  <c r="AR23" s="1"/>
  <c r="S44" i="5"/>
  <c r="T43"/>
  <c r="E19" i="11"/>
  <c r="E15" i="12"/>
  <c r="E16" s="1"/>
  <c r="E18" i="11"/>
  <c r="F12" i="14"/>
  <c r="F7"/>
  <c r="G7" s="1"/>
  <c r="S54" i="5"/>
  <c r="T53"/>
  <c r="S34"/>
  <c r="S35" s="1"/>
  <c r="T33"/>
  <c r="Y33" s="1"/>
  <c r="AY15"/>
  <c r="AZ15" s="1"/>
  <c r="AU15"/>
  <c r="S20" i="11"/>
  <c r="AD8" i="6"/>
  <c r="AC6"/>
  <c r="AC17"/>
  <c r="AA13" i="13"/>
  <c r="AA22" i="6"/>
  <c r="AA16"/>
  <c r="AA12"/>
  <c r="AP25" i="8"/>
  <c r="AP26" s="1"/>
  <c r="AP23" s="1"/>
  <c r="AO26"/>
  <c r="AO23" s="1"/>
  <c r="D19" i="11"/>
  <c r="D15" i="12"/>
  <c r="D16" s="1"/>
  <c r="D18" i="11"/>
  <c r="F21" i="12"/>
  <c r="G111" i="2" s="1"/>
  <c r="F13" i="11"/>
  <c r="W12" i="10"/>
  <c r="X7"/>
  <c r="AY20" i="5"/>
  <c r="AZ20" s="1"/>
  <c r="AU20"/>
  <c r="C11" i="12"/>
  <c r="G6" i="11"/>
  <c r="P22" i="8"/>
  <c r="O22"/>
  <c r="O18" s="1"/>
  <c r="E52" i="10"/>
  <c r="E50"/>
  <c r="E51"/>
  <c r="Q21" i="8"/>
  <c r="S16" i="10"/>
  <c r="V8"/>
  <c r="T6"/>
  <c r="T13"/>
  <c r="U8"/>
  <c r="U6" s="1"/>
  <c r="D47" l="1"/>
  <c r="F47" s="1"/>
  <c r="D48" s="1"/>
  <c r="F48" s="1"/>
  <c r="D49" s="1"/>
  <c r="F49" s="1"/>
  <c r="D50" s="1"/>
  <c r="F50" s="1"/>
  <c r="D51" s="1"/>
  <c r="F51" s="1"/>
  <c r="D52" s="1"/>
  <c r="F52" s="1"/>
  <c r="D53" s="1"/>
  <c r="G46"/>
  <c r="Q17" s="1"/>
  <c r="O10" i="11" s="1"/>
  <c r="D17"/>
  <c r="E17"/>
  <c r="AQ23" i="8"/>
  <c r="AI6"/>
  <c r="AI7" i="12" s="1"/>
  <c r="AC6" i="8"/>
  <c r="AE12"/>
  <c r="AP15" i="6"/>
  <c r="AQ14"/>
  <c r="V7" i="12"/>
  <c r="X7" s="1"/>
  <c r="V12" i="13"/>
  <c r="X12" s="1"/>
  <c r="X6" i="8"/>
  <c r="AH13"/>
  <c r="AJ13" s="1"/>
  <c r="AH14"/>
  <c r="AJ14" s="1"/>
  <c r="AH7"/>
  <c r="AJ7" s="1"/>
  <c r="AH9"/>
  <c r="AJ9" s="1"/>
  <c r="AH8"/>
  <c r="AJ8" s="1"/>
  <c r="AH15"/>
  <c r="AJ15" s="1"/>
  <c r="AH16"/>
  <c r="AJ16" s="1"/>
  <c r="AH11"/>
  <c r="AJ11" s="1"/>
  <c r="AH10"/>
  <c r="AJ10" s="1"/>
  <c r="AJ13" i="6"/>
  <c r="AV14"/>
  <c r="AD7" i="12"/>
  <c r="AD12" i="13"/>
  <c r="AU14" i="8"/>
  <c r="AU13"/>
  <c r="AU16"/>
  <c r="AU15"/>
  <c r="AU7"/>
  <c r="AU9"/>
  <c r="AU8"/>
  <c r="AU10"/>
  <c r="AU11"/>
  <c r="AT13" i="6"/>
  <c r="AT12" i="8" s="1"/>
  <c r="AV15" i="6"/>
  <c r="AR32" i="5"/>
  <c r="AM15" i="11"/>
  <c r="AM6" i="8"/>
  <c r="AB16" i="6"/>
  <c r="AB20" i="8" s="1"/>
  <c r="F15" i="12"/>
  <c r="F16" s="1"/>
  <c r="F19" i="11"/>
  <c r="F18"/>
  <c r="AA11"/>
  <c r="AA20" i="8"/>
  <c r="S55" i="5"/>
  <c r="T44"/>
  <c r="T45" s="1"/>
  <c r="U43"/>
  <c r="V43"/>
  <c r="AT25" i="8"/>
  <c r="AS26"/>
  <c r="AS23" s="1"/>
  <c r="T49" i="5"/>
  <c r="U48"/>
  <c r="V48"/>
  <c r="T39"/>
  <c r="U38"/>
  <c r="V38"/>
  <c r="T20" i="11"/>
  <c r="U12"/>
  <c r="AQ25" i="8"/>
  <c r="AQ26"/>
  <c r="AA10" i="6"/>
  <c r="AC18"/>
  <c r="AC11"/>
  <c r="AD6"/>
  <c r="AF8"/>
  <c r="AD17"/>
  <c r="T34" i="5"/>
  <c r="T35" s="1"/>
  <c r="U33"/>
  <c r="T54"/>
  <c r="T55" s="1"/>
  <c r="U53"/>
  <c r="V53"/>
  <c r="S45"/>
  <c r="U44"/>
  <c r="AB22" i="6"/>
  <c r="AB13" i="13"/>
  <c r="AB10" i="6"/>
  <c r="X12" i="10"/>
  <c r="Y7"/>
  <c r="G11" i="12"/>
  <c r="G19" s="1"/>
  <c r="C19"/>
  <c r="T11" i="10"/>
  <c r="T16" s="1"/>
  <c r="U13"/>
  <c r="U11" s="1"/>
  <c r="V6"/>
  <c r="V13"/>
  <c r="W8"/>
  <c r="Q22" i="8"/>
  <c r="P18"/>
  <c r="G49" i="10" l="1"/>
  <c r="R17" s="1"/>
  <c r="P10" i="11" s="1"/>
  <c r="U45" i="5"/>
  <c r="AI12" i="13"/>
  <c r="AT13" i="8"/>
  <c r="AV13" s="1"/>
  <c r="AT14"/>
  <c r="AV14" s="1"/>
  <c r="AT15"/>
  <c r="AV15" s="1"/>
  <c r="AT16"/>
  <c r="AV16" s="1"/>
  <c r="AT7"/>
  <c r="AV7" s="1"/>
  <c r="AT9"/>
  <c r="AV9" s="1"/>
  <c r="AT8"/>
  <c r="AV8" s="1"/>
  <c r="AT10"/>
  <c r="AV10" s="1"/>
  <c r="AT11"/>
  <c r="AV11" s="1"/>
  <c r="AV13" i="6"/>
  <c r="AH6" i="8"/>
  <c r="AJ12"/>
  <c r="AP13" i="6"/>
  <c r="AP12" i="8" s="1"/>
  <c r="AQ15" i="6"/>
  <c r="AC12" i="13"/>
  <c r="AE12" s="1"/>
  <c r="AC7" i="12"/>
  <c r="AE7" s="1"/>
  <c r="AE6" i="8"/>
  <c r="AM12" i="13"/>
  <c r="AM7" i="12"/>
  <c r="AN15" i="11"/>
  <c r="AS32" i="5"/>
  <c r="U54"/>
  <c r="F17" i="11"/>
  <c r="V34" i="5"/>
  <c r="V35" s="1"/>
  <c r="AG8" i="6"/>
  <c r="AF6"/>
  <c r="AF17"/>
  <c r="AC22"/>
  <c r="AC13" i="13"/>
  <c r="V39" i="5"/>
  <c r="W38"/>
  <c r="T40"/>
  <c r="U40" s="1"/>
  <c r="U39"/>
  <c r="U34"/>
  <c r="V54"/>
  <c r="W53"/>
  <c r="AD18" i="6"/>
  <c r="AD11"/>
  <c r="AE11" s="1"/>
  <c r="AC16"/>
  <c r="AC12"/>
  <c r="AE18"/>
  <c r="U20" i="11"/>
  <c r="V12"/>
  <c r="V49" i="5"/>
  <c r="W48"/>
  <c r="T50"/>
  <c r="U50" s="1"/>
  <c r="U49"/>
  <c r="AU25" i="8"/>
  <c r="AT26"/>
  <c r="V44" i="5"/>
  <c r="W43"/>
  <c r="U55"/>
  <c r="U35"/>
  <c r="AE17" i="6"/>
  <c r="Y12" i="10"/>
  <c r="Z12" s="1"/>
  <c r="AD7"/>
  <c r="Z7"/>
  <c r="G52"/>
  <c r="S17" s="1"/>
  <c r="Q10" i="11" s="1"/>
  <c r="C13"/>
  <c r="C21" i="12"/>
  <c r="D111" i="2" s="1"/>
  <c r="G21" i="12"/>
  <c r="D112" i="2" s="1"/>
  <c r="U16" i="10"/>
  <c r="V11"/>
  <c r="Q18" i="8"/>
  <c r="W13" i="10"/>
  <c r="W11" s="1"/>
  <c r="X8"/>
  <c r="W6"/>
  <c r="E55"/>
  <c r="E53"/>
  <c r="F53" s="1"/>
  <c r="D54" s="1"/>
  <c r="E54"/>
  <c r="R21" i="8"/>
  <c r="S21"/>
  <c r="D114" i="2" l="1"/>
  <c r="G10" i="14" s="1"/>
  <c r="AP13" i="8"/>
  <c r="AQ13" s="1"/>
  <c r="AP14"/>
  <c r="AQ14" s="1"/>
  <c r="AP7"/>
  <c r="AQ7" s="1"/>
  <c r="AP9"/>
  <c r="AQ9" s="1"/>
  <c r="AP8"/>
  <c r="AQ8" s="1"/>
  <c r="AP15"/>
  <c r="AQ15" s="1"/>
  <c r="AP16"/>
  <c r="AQ16" s="1"/>
  <c r="AP11"/>
  <c r="AQ11" s="1"/>
  <c r="AP10"/>
  <c r="AQ10" s="1"/>
  <c r="AQ13" i="6"/>
  <c r="AH12" i="13"/>
  <c r="AJ12" s="1"/>
  <c r="AH7" i="12"/>
  <c r="AJ7" s="1"/>
  <c r="AJ6" i="8"/>
  <c r="AN6"/>
  <c r="AO15" i="11"/>
  <c r="AO6" i="8"/>
  <c r="AT32" i="5"/>
  <c r="V45"/>
  <c r="AU26" i="8"/>
  <c r="AU23" s="1"/>
  <c r="AV25"/>
  <c r="V50" i="5"/>
  <c r="V20" i="11"/>
  <c r="W12"/>
  <c r="X12" s="1"/>
  <c r="AC20" i="8"/>
  <c r="AD16" i="6"/>
  <c r="AD20" i="8" s="1"/>
  <c r="AD12" i="6"/>
  <c r="AD11" i="11" s="1"/>
  <c r="V55" i="5"/>
  <c r="W39"/>
  <c r="W40" s="1"/>
  <c r="X38"/>
  <c r="AF18" i="6"/>
  <c r="AF11"/>
  <c r="AG6"/>
  <c r="AH8"/>
  <c r="AG17"/>
  <c r="W44" i="5"/>
  <c r="W45" s="1"/>
  <c r="X43"/>
  <c r="AT23" i="8"/>
  <c r="W49" i="5"/>
  <c r="W50" s="1"/>
  <c r="X48"/>
  <c r="AC11" i="11"/>
  <c r="AE11" s="1"/>
  <c r="AD22" i="6"/>
  <c r="AE22" s="1"/>
  <c r="AD13" i="13"/>
  <c r="AE13" s="1"/>
  <c r="W54" i="5"/>
  <c r="W55" s="1"/>
  <c r="X53"/>
  <c r="V40"/>
  <c r="AC10" i="6"/>
  <c r="W34" i="5"/>
  <c r="W35" s="1"/>
  <c r="AE7" i="10"/>
  <c r="AD12"/>
  <c r="D115" i="2"/>
  <c r="D113"/>
  <c r="C10" i="14" s="1"/>
  <c r="E115" i="2"/>
  <c r="E113"/>
  <c r="D10" i="14" s="1"/>
  <c r="G115" i="2"/>
  <c r="F115"/>
  <c r="F113"/>
  <c r="E10" i="14" s="1"/>
  <c r="G113" i="2"/>
  <c r="F10" i="14" s="1"/>
  <c r="C19" i="11"/>
  <c r="G19" s="1"/>
  <c r="C15" i="12"/>
  <c r="G13" i="11"/>
  <c r="C18"/>
  <c r="F54" i="10"/>
  <c r="D55" s="1"/>
  <c r="F55" s="1"/>
  <c r="D56" s="1"/>
  <c r="X6"/>
  <c r="X13"/>
  <c r="X11" s="1"/>
  <c r="Y8"/>
  <c r="R22" i="8"/>
  <c r="R18" s="1"/>
  <c r="E61" i="10"/>
  <c r="E59"/>
  <c r="E60"/>
  <c r="U21" i="8"/>
  <c r="E58" i="10"/>
  <c r="E57"/>
  <c r="E56"/>
  <c r="T21" i="8"/>
  <c r="V16" i="10"/>
  <c r="W16" s="1"/>
  <c r="AV26" i="8" l="1"/>
  <c r="AD10" i="6"/>
  <c r="AE10" s="1"/>
  <c r="AE16"/>
  <c r="AE12"/>
  <c r="AP15" i="11"/>
  <c r="AQ15" s="1"/>
  <c r="AP6" i="8"/>
  <c r="AQ6" s="1"/>
  <c r="AV32" i="5"/>
  <c r="AN7" i="12"/>
  <c r="AN12" i="13"/>
  <c r="AU32" i="5"/>
  <c r="AO12" i="13"/>
  <c r="AO7" i="12"/>
  <c r="X34" i="5"/>
  <c r="X35" s="1"/>
  <c r="AV23" i="8"/>
  <c r="AI8" i="6"/>
  <c r="AH6"/>
  <c r="AH17"/>
  <c r="AF13" i="13"/>
  <c r="AF22" i="6"/>
  <c r="AF12"/>
  <c r="X39" i="5"/>
  <c r="Y38"/>
  <c r="W20" i="11"/>
  <c r="X20" s="1"/>
  <c r="AA12"/>
  <c r="X54" i="5"/>
  <c r="X55" s="1"/>
  <c r="Y53"/>
  <c r="X49"/>
  <c r="X50" s="1"/>
  <c r="Y48"/>
  <c r="X44"/>
  <c r="X45" s="1"/>
  <c r="Y43"/>
  <c r="AG18" i="6"/>
  <c r="AG11"/>
  <c r="AF16"/>
  <c r="AE20" i="8"/>
  <c r="X16" i="10"/>
  <c r="AE12"/>
  <c r="AF7"/>
  <c r="G55"/>
  <c r="T17" s="1"/>
  <c r="R10" i="11" s="1"/>
  <c r="S18" i="8"/>
  <c r="G18" i="11"/>
  <c r="C17"/>
  <c r="G17" s="1"/>
  <c r="G15" i="12"/>
  <c r="C16"/>
  <c r="G16" s="1"/>
  <c r="U22" i="8"/>
  <c r="U18" s="1"/>
  <c r="E64" i="10"/>
  <c r="E62"/>
  <c r="E63"/>
  <c r="V21" i="8"/>
  <c r="T22"/>
  <c r="S22"/>
  <c r="Y13" i="10"/>
  <c r="AD8"/>
  <c r="Z8"/>
  <c r="Z6" s="1"/>
  <c r="Y6"/>
  <c r="F56"/>
  <c r="D57" s="1"/>
  <c r="F57" s="1"/>
  <c r="D58" s="1"/>
  <c r="F58" s="1"/>
  <c r="D59" s="1"/>
  <c r="AQ12" i="8" l="1"/>
  <c r="AR15" i="11"/>
  <c r="AR6" i="8"/>
  <c r="AW32" i="5"/>
  <c r="AP7" i="12"/>
  <c r="AQ7" s="1"/>
  <c r="AP12" i="13"/>
  <c r="AQ12" s="1"/>
  <c r="AG22" i="6"/>
  <c r="AG13" i="13"/>
  <c r="Y39" i="5"/>
  <c r="Y40" s="1"/>
  <c r="Z38"/>
  <c r="AD38" s="1"/>
  <c r="AF11" i="11"/>
  <c r="AF10" i="6"/>
  <c r="AH18"/>
  <c r="AH11"/>
  <c r="AM8"/>
  <c r="AI6"/>
  <c r="AI17"/>
  <c r="Y34" i="5"/>
  <c r="Y35" s="1"/>
  <c r="Z33"/>
  <c r="AD33" s="1"/>
  <c r="AF20" i="8"/>
  <c r="AG16" i="6"/>
  <c r="AG20" i="8" s="1"/>
  <c r="AG12" i="6"/>
  <c r="AG11" i="11" s="1"/>
  <c r="Y44" i="5"/>
  <c r="Z43"/>
  <c r="AD43" s="1"/>
  <c r="Y49"/>
  <c r="Y50" s="1"/>
  <c r="Z50" s="1"/>
  <c r="Z48"/>
  <c r="AD48" s="1"/>
  <c r="Y54"/>
  <c r="Y55" s="1"/>
  <c r="Z55" s="1"/>
  <c r="Z53"/>
  <c r="AD53" s="1"/>
  <c r="AB12" i="11"/>
  <c r="AA20"/>
  <c r="Z54" i="5"/>
  <c r="X40"/>
  <c r="Z39"/>
  <c r="U17" i="10"/>
  <c r="G58"/>
  <c r="V17" s="1"/>
  <c r="T10" i="11" s="1"/>
  <c r="AG7" i="10"/>
  <c r="AF12"/>
  <c r="Y11"/>
  <c r="Z13"/>
  <c r="Z11" s="1"/>
  <c r="V22" i="8"/>
  <c r="F59" i="10"/>
  <c r="D60" s="1"/>
  <c r="F60" s="1"/>
  <c r="D61" s="1"/>
  <c r="F61" s="1"/>
  <c r="D62" s="1"/>
  <c r="AD13"/>
  <c r="AD6"/>
  <c r="AE8"/>
  <c r="T18" i="8"/>
  <c r="S10" i="11"/>
  <c r="Z40" i="5" l="1"/>
  <c r="AR12" i="13"/>
  <c r="AR7" i="12"/>
  <c r="AX32" i="5"/>
  <c r="AS15" i="11"/>
  <c r="AD54" i="5"/>
  <c r="AE53"/>
  <c r="AD49"/>
  <c r="AE48"/>
  <c r="AD44"/>
  <c r="AE43"/>
  <c r="AD34"/>
  <c r="AD35" s="1"/>
  <c r="AE33"/>
  <c r="AI18" i="6"/>
  <c r="AI11"/>
  <c r="AJ17"/>
  <c r="AM6"/>
  <c r="AN8"/>
  <c r="AM17"/>
  <c r="AH16"/>
  <c r="AH12"/>
  <c r="AH11" i="11" s="1"/>
  <c r="AG10" i="6"/>
  <c r="AB20" i="11"/>
  <c r="AF12"/>
  <c r="AC12"/>
  <c r="Y45" i="5"/>
  <c r="Z45" s="1"/>
  <c r="Z44"/>
  <c r="Z35"/>
  <c r="Z34"/>
  <c r="AH13" i="13"/>
  <c r="AH22" i="6"/>
  <c r="AD39" i="5"/>
  <c r="AE38"/>
  <c r="Z49"/>
  <c r="AG12" i="10"/>
  <c r="AH12" s="1"/>
  <c r="AH7"/>
  <c r="AI7" s="1"/>
  <c r="F62"/>
  <c r="D63" s="1"/>
  <c r="F63" s="1"/>
  <c r="D64" s="1"/>
  <c r="F64" s="1"/>
  <c r="D65" s="1"/>
  <c r="AF8"/>
  <c r="AE13"/>
  <c r="AE11" s="1"/>
  <c r="AE6"/>
  <c r="AD11"/>
  <c r="G61"/>
  <c r="W17" s="1"/>
  <c r="V18" i="8"/>
  <c r="E67" i="10"/>
  <c r="E65"/>
  <c r="E66"/>
  <c r="X21" i="8"/>
  <c r="W21"/>
  <c r="Y16" i="10"/>
  <c r="Z16" s="1"/>
  <c r="AD16" l="1"/>
  <c r="AE16" s="1"/>
  <c r="AH10" i="6"/>
  <c r="AS6" i="8"/>
  <c r="AT15" i="11"/>
  <c r="AT6" i="8"/>
  <c r="AE39" i="5"/>
  <c r="AE40" s="1"/>
  <c r="AF38"/>
  <c r="AD12" i="11"/>
  <c r="AD20" s="1"/>
  <c r="AC20"/>
  <c r="AE12"/>
  <c r="AH20" i="8"/>
  <c r="AO8" i="6"/>
  <c r="AN6"/>
  <c r="AN17"/>
  <c r="AI16"/>
  <c r="AI20" i="8" s="1"/>
  <c r="AI12" i="6"/>
  <c r="AJ18"/>
  <c r="AD45" i="5"/>
  <c r="AD50"/>
  <c r="AD55"/>
  <c r="AD40"/>
  <c r="AF20" i="11"/>
  <c r="AG12"/>
  <c r="AM18" i="6"/>
  <c r="AM11"/>
  <c r="AI13" i="13"/>
  <c r="AJ13" s="1"/>
  <c r="AI10" i="6"/>
  <c r="AI22"/>
  <c r="AJ22" s="1"/>
  <c r="AJ11"/>
  <c r="AE34" i="5"/>
  <c r="AE35" s="1"/>
  <c r="AF33"/>
  <c r="AE44"/>
  <c r="AE45" s="1"/>
  <c r="AF43"/>
  <c r="AE49"/>
  <c r="AE50" s="1"/>
  <c r="AF48"/>
  <c r="AE54"/>
  <c r="AE55" s="1"/>
  <c r="AF53"/>
  <c r="AI12" i="10"/>
  <c r="AJ7"/>
  <c r="W22" i="8"/>
  <c r="W18" s="1"/>
  <c r="U10" i="11"/>
  <c r="E73" i="10"/>
  <c r="E71"/>
  <c r="E72"/>
  <c r="AB21" i="8"/>
  <c r="F65" i="10"/>
  <c r="D66" s="1"/>
  <c r="F66" s="1"/>
  <c r="D67" s="1"/>
  <c r="F67" s="1"/>
  <c r="D68" s="1"/>
  <c r="E70"/>
  <c r="E68"/>
  <c r="E69"/>
  <c r="AA21" i="8"/>
  <c r="AF13" i="10"/>
  <c r="AF6"/>
  <c r="AG8"/>
  <c r="G64"/>
  <c r="X17" s="1"/>
  <c r="V10" i="11" s="1"/>
  <c r="AJ10" i="6" l="1"/>
  <c r="AE20" i="11"/>
  <c r="AT12" i="13"/>
  <c r="AT7" i="12"/>
  <c r="AU6" i="8"/>
  <c r="AU15" i="11"/>
  <c r="AV15" s="1"/>
  <c r="AZ32" i="5"/>
  <c r="AS7" i="12"/>
  <c r="AS12" i="13"/>
  <c r="AF54" i="5"/>
  <c r="AF55" s="1"/>
  <c r="AG53"/>
  <c r="AF49"/>
  <c r="AF50" s="1"/>
  <c r="AG48"/>
  <c r="AF44"/>
  <c r="AF45" s="1"/>
  <c r="AG43"/>
  <c r="AF34"/>
  <c r="AF35" s="1"/>
  <c r="AG33"/>
  <c r="AM22" i="6"/>
  <c r="AM13" i="13"/>
  <c r="AJ16" i="6"/>
  <c r="AM16"/>
  <c r="AM12"/>
  <c r="AM10" s="1"/>
  <c r="AH12" i="11"/>
  <c r="AG20"/>
  <c r="AI11"/>
  <c r="AJ11" s="1"/>
  <c r="AJ12" i="6"/>
  <c r="AN18"/>
  <c r="AN11"/>
  <c r="AO6"/>
  <c r="AP8"/>
  <c r="AO17"/>
  <c r="AJ20" i="8"/>
  <c r="AF39" i="5"/>
  <c r="AG38"/>
  <c r="AK7" i="10"/>
  <c r="AJ12"/>
  <c r="G67"/>
  <c r="Y17" s="1"/>
  <c r="W10" i="11" s="1"/>
  <c r="X10" s="1"/>
  <c r="X18" i="8"/>
  <c r="AA22"/>
  <c r="AA18" s="1"/>
  <c r="AB22"/>
  <c r="AB18" s="1"/>
  <c r="AH8" i="10"/>
  <c r="AG13"/>
  <c r="AG11" s="1"/>
  <c r="AG6"/>
  <c r="AF11"/>
  <c r="F68"/>
  <c r="D69" s="1"/>
  <c r="F69" s="1"/>
  <c r="D70" s="1"/>
  <c r="F70" s="1"/>
  <c r="D71" s="1"/>
  <c r="X22" i="8"/>
  <c r="AU7" i="12" l="1"/>
  <c r="AV7" s="1"/>
  <c r="AU12" i="13"/>
  <c r="AV12" s="1"/>
  <c r="AV6" i="8"/>
  <c r="AV12"/>
  <c r="AI38" i="5"/>
  <c r="AG39"/>
  <c r="AG40" s="1"/>
  <c r="AH38"/>
  <c r="AR8" i="6"/>
  <c r="AP6"/>
  <c r="AP17"/>
  <c r="AQ17" s="1"/>
  <c r="AN13" i="13"/>
  <c r="AN22" i="6"/>
  <c r="AH20" i="11"/>
  <c r="AI12"/>
  <c r="AJ12" s="1"/>
  <c r="AI33" i="5"/>
  <c r="AQ33" s="1"/>
  <c r="AG34"/>
  <c r="AG35" s="1"/>
  <c r="AH35" s="1"/>
  <c r="AH33"/>
  <c r="AI43"/>
  <c r="AG44"/>
  <c r="AH43"/>
  <c r="AI48"/>
  <c r="AG49"/>
  <c r="AH48"/>
  <c r="AG54"/>
  <c r="AI53"/>
  <c r="AH53"/>
  <c r="AF40"/>
  <c r="AO18" i="6"/>
  <c r="AO11"/>
  <c r="AN16"/>
  <c r="AN20" i="8" s="1"/>
  <c r="AN12" i="6"/>
  <c r="AN11" i="11" s="1"/>
  <c r="AM11"/>
  <c r="AM20" i="8"/>
  <c r="Z17" i="10"/>
  <c r="AK12"/>
  <c r="AL7"/>
  <c r="G70"/>
  <c r="AD17" s="1"/>
  <c r="AA10" i="11" s="1"/>
  <c r="E76" i="10"/>
  <c r="E74"/>
  <c r="E75"/>
  <c r="AC21" i="8"/>
  <c r="AF16" i="10"/>
  <c r="AG16" s="1"/>
  <c r="AH16" s="1"/>
  <c r="E79"/>
  <c r="E77"/>
  <c r="E78"/>
  <c r="AD21" i="8"/>
  <c r="F71" i="10"/>
  <c r="D72" s="1"/>
  <c r="F72" s="1"/>
  <c r="D73" s="1"/>
  <c r="F73" s="1"/>
  <c r="D74" s="1"/>
  <c r="AH13"/>
  <c r="AH11" s="1"/>
  <c r="AH6"/>
  <c r="AI8"/>
  <c r="AH39" i="5" l="1"/>
  <c r="AH40"/>
  <c r="AO16" i="6"/>
  <c r="AO12"/>
  <c r="AO11" i="11" s="1"/>
  <c r="AI54" i="5"/>
  <c r="AJ53"/>
  <c r="AI49"/>
  <c r="AJ48"/>
  <c r="AG45"/>
  <c r="AH45" s="1"/>
  <c r="AH44"/>
  <c r="AI34"/>
  <c r="AI35" s="1"/>
  <c r="AJ33"/>
  <c r="AR33" s="1"/>
  <c r="AN10" i="6"/>
  <c r="AP18"/>
  <c r="AQ18" s="1"/>
  <c r="AP11"/>
  <c r="AQ11" s="1"/>
  <c r="AR6"/>
  <c r="AS8"/>
  <c r="AR17"/>
  <c r="AO22"/>
  <c r="AO13" i="13"/>
  <c r="AO10" i="6"/>
  <c r="AG55" i="5"/>
  <c r="AH55" s="1"/>
  <c r="AH54"/>
  <c r="AG50"/>
  <c r="AH50" s="1"/>
  <c r="AH49"/>
  <c r="AI44"/>
  <c r="AJ43"/>
  <c r="AH34"/>
  <c r="AI20" i="11"/>
  <c r="AJ20" s="1"/>
  <c r="AM12"/>
  <c r="AI39" i="5"/>
  <c r="AJ38"/>
  <c r="AM7" i="10"/>
  <c r="AQ7" s="1"/>
  <c r="AL12"/>
  <c r="AM12" s="1"/>
  <c r="F74"/>
  <c r="D75" s="1"/>
  <c r="F75" s="1"/>
  <c r="D76" s="1"/>
  <c r="F76" s="1"/>
  <c r="D77" s="1"/>
  <c r="AC22" i="8"/>
  <c r="AE21"/>
  <c r="AJ8" i="10"/>
  <c r="AI13"/>
  <c r="AI6"/>
  <c r="G73"/>
  <c r="AE17" s="1"/>
  <c r="AD22" i="8"/>
  <c r="AM20" i="11" l="1"/>
  <c r="AN12"/>
  <c r="AI45" i="5"/>
  <c r="AT8" i="6"/>
  <c r="AS6"/>
  <c r="AS17"/>
  <c r="AP22"/>
  <c r="AQ22" s="1"/>
  <c r="AP13" i="13"/>
  <c r="AQ13" s="1"/>
  <c r="AJ34" i="5"/>
  <c r="AJ35" s="1"/>
  <c r="AK33"/>
  <c r="AS33" s="1"/>
  <c r="AJ49"/>
  <c r="AJ50" s="1"/>
  <c r="AK48"/>
  <c r="AJ54"/>
  <c r="AJ55" s="1"/>
  <c r="AK53"/>
  <c r="AJ39"/>
  <c r="AJ40" s="1"/>
  <c r="AK38"/>
  <c r="AI40"/>
  <c r="AJ44"/>
  <c r="AJ45" s="1"/>
  <c r="AK43"/>
  <c r="AR18" i="6"/>
  <c r="AR16" s="1"/>
  <c r="AR11"/>
  <c r="AP16"/>
  <c r="AP20" i="8" s="1"/>
  <c r="AP12" i="6"/>
  <c r="AI50" i="5"/>
  <c r="AI55"/>
  <c r="AO20" i="8"/>
  <c r="AQ12" i="10"/>
  <c r="AR7"/>
  <c r="G76"/>
  <c r="AF17" s="1"/>
  <c r="AC10" i="11" s="1"/>
  <c r="AE22" i="8"/>
  <c r="AB10" i="11"/>
  <c r="AI11" i="10"/>
  <c r="AD18" i="8"/>
  <c r="AJ13" i="10"/>
  <c r="AJ11" s="1"/>
  <c r="AJ6"/>
  <c r="AK8"/>
  <c r="AC18" i="8"/>
  <c r="F77" i="10"/>
  <c r="D78" s="1"/>
  <c r="F78" s="1"/>
  <c r="D79" s="1"/>
  <c r="F79" s="1"/>
  <c r="D80" s="1"/>
  <c r="AQ16" i="6" l="1"/>
  <c r="AQ20" i="8"/>
  <c r="AR20"/>
  <c r="AR12" i="6"/>
  <c r="AK44" i="5"/>
  <c r="AK45" s="1"/>
  <c r="AL43"/>
  <c r="AK39"/>
  <c r="AL38"/>
  <c r="AK54"/>
  <c r="AL53"/>
  <c r="AK49"/>
  <c r="AL48"/>
  <c r="AK34"/>
  <c r="AK35" s="1"/>
  <c r="AL33"/>
  <c r="AT33" s="1"/>
  <c r="AS18" i="6"/>
  <c r="AS11"/>
  <c r="AT6"/>
  <c r="AU8"/>
  <c r="AT17"/>
  <c r="AP11" i="11"/>
  <c r="AQ11" s="1"/>
  <c r="AQ12" i="6"/>
  <c r="AR22"/>
  <c r="AR13" i="13"/>
  <c r="AR10" i="6"/>
  <c r="AP10"/>
  <c r="AQ10" s="1"/>
  <c r="AR12" i="11"/>
  <c r="AN20"/>
  <c r="AO12"/>
  <c r="AR12" i="10"/>
  <c r="AS7"/>
  <c r="G79"/>
  <c r="AG17" s="1"/>
  <c r="AD10" i="11" s="1"/>
  <c r="AE10" s="1"/>
  <c r="AE18" i="8"/>
  <c r="AL8" i="10"/>
  <c r="AK13"/>
  <c r="AK11" s="1"/>
  <c r="AK6"/>
  <c r="E85"/>
  <c r="E83"/>
  <c r="E84"/>
  <c r="AG21" i="8"/>
  <c r="E82" i="10"/>
  <c r="E80"/>
  <c r="F80" s="1"/>
  <c r="D81" s="1"/>
  <c r="E81"/>
  <c r="AF21" i="8"/>
  <c r="AI16" i="10"/>
  <c r="AJ16" s="1"/>
  <c r="AO20" i="11" l="1"/>
  <c r="AP12"/>
  <c r="AP20" s="1"/>
  <c r="AR20"/>
  <c r="AS12"/>
  <c r="AT18" i="6"/>
  <c r="AT11"/>
  <c r="AS16"/>
  <c r="AS12"/>
  <c r="AS11" i="11" s="1"/>
  <c r="AK50" i="5"/>
  <c r="AK55"/>
  <c r="AK40"/>
  <c r="AU6" i="6"/>
  <c r="AU17"/>
  <c r="AS22"/>
  <c r="AS13" i="13"/>
  <c r="AL34" i="5"/>
  <c r="AL35" s="1"/>
  <c r="AM33"/>
  <c r="AL49"/>
  <c r="AL50" s="1"/>
  <c r="AM48"/>
  <c r="AQ48" s="1"/>
  <c r="AL54"/>
  <c r="AL55" s="1"/>
  <c r="AM53"/>
  <c r="AQ53" s="1"/>
  <c r="AL39"/>
  <c r="AL40" s="1"/>
  <c r="AM38"/>
  <c r="AQ38" s="1"/>
  <c r="AL44"/>
  <c r="AM43"/>
  <c r="AQ43" s="1"/>
  <c r="AR11" i="11"/>
  <c r="AS12" i="10"/>
  <c r="AT7"/>
  <c r="AH17"/>
  <c r="AK16"/>
  <c r="F81"/>
  <c r="D82" s="1"/>
  <c r="F82" s="1"/>
  <c r="D83" s="1"/>
  <c r="AG22" i="8"/>
  <c r="AL13" i="10"/>
  <c r="AL6"/>
  <c r="AM8"/>
  <c r="AF22" i="8"/>
  <c r="AF18" s="1"/>
  <c r="E88" i="10"/>
  <c r="E86"/>
  <c r="E87"/>
  <c r="AH21" i="8"/>
  <c r="AS10" i="6" l="1"/>
  <c r="AQ44" i="5"/>
  <c r="AR43"/>
  <c r="AQ39"/>
  <c r="AR38"/>
  <c r="AQ54"/>
  <c r="AR53"/>
  <c r="AQ49"/>
  <c r="AR48"/>
  <c r="AQ34"/>
  <c r="AQ35" s="1"/>
  <c r="AM40"/>
  <c r="AM55"/>
  <c r="AM50"/>
  <c r="AM35"/>
  <c r="AS20" i="8"/>
  <c r="AT13" i="13"/>
  <c r="AT22" i="6"/>
  <c r="AS20" i="11"/>
  <c r="AT12"/>
  <c r="AL45" i="5"/>
  <c r="AM45" s="1"/>
  <c r="AM44"/>
  <c r="AU18" i="6"/>
  <c r="AU11"/>
  <c r="AV11" s="1"/>
  <c r="AM39" i="5"/>
  <c r="AM54"/>
  <c r="AM49"/>
  <c r="AM34"/>
  <c r="AV17" i="6"/>
  <c r="AT16"/>
  <c r="AT20" i="8" s="1"/>
  <c r="AT12" i="6"/>
  <c r="AQ12" i="11"/>
  <c r="AQ20"/>
  <c r="AT12" i="10"/>
  <c r="AU12" s="1"/>
  <c r="AU7"/>
  <c r="AV7" s="1"/>
  <c r="G82"/>
  <c r="AI17" s="1"/>
  <c r="AF10" i="11" s="1"/>
  <c r="AQ8" i="10"/>
  <c r="AM6"/>
  <c r="AL11"/>
  <c r="AM13"/>
  <c r="AM11" s="1"/>
  <c r="AH22" i="8"/>
  <c r="AH18" s="1"/>
  <c r="AG18"/>
  <c r="F83" i="10"/>
  <c r="D84" s="1"/>
  <c r="F84" s="1"/>
  <c r="D85" s="1"/>
  <c r="F85" s="1"/>
  <c r="D86" s="1"/>
  <c r="AT11" i="11" l="1"/>
  <c r="AU16" i="6"/>
  <c r="AU20" i="8" s="1"/>
  <c r="AV20" s="1"/>
  <c r="AU12" i="6"/>
  <c r="AU11" i="11" s="1"/>
  <c r="AV18" i="6"/>
  <c r="AT20" i="11"/>
  <c r="AU12"/>
  <c r="AT10" i="6"/>
  <c r="AR34" i="5"/>
  <c r="AR35" s="1"/>
  <c r="AR49"/>
  <c r="AR50" s="1"/>
  <c r="AS48"/>
  <c r="AR54"/>
  <c r="AR55" s="1"/>
  <c r="AS53"/>
  <c r="AR39"/>
  <c r="AR40" s="1"/>
  <c r="AS38"/>
  <c r="AR44"/>
  <c r="AR45" s="1"/>
  <c r="AS43"/>
  <c r="AU22" i="6"/>
  <c r="AV22" s="1"/>
  <c r="AU13" i="13"/>
  <c r="AV13" s="1"/>
  <c r="AU10" i="6"/>
  <c r="AQ50" i="5"/>
  <c r="AQ55"/>
  <c r="AQ40"/>
  <c r="AQ45"/>
  <c r="AV12" i="10"/>
  <c r="AW7"/>
  <c r="F86"/>
  <c r="D87" s="1"/>
  <c r="F87" s="1"/>
  <c r="D88" s="1"/>
  <c r="F88" s="1"/>
  <c r="D89" s="1"/>
  <c r="G85"/>
  <c r="AJ17" s="1"/>
  <c r="E91"/>
  <c r="E89"/>
  <c r="E90"/>
  <c r="AI21" i="8"/>
  <c r="AL16" i="10"/>
  <c r="AM16" s="1"/>
  <c r="AQ13"/>
  <c r="AR8"/>
  <c r="AQ6"/>
  <c r="AV16" i="6" l="1"/>
  <c r="AV10"/>
  <c r="AV12"/>
  <c r="AS44" i="5"/>
  <c r="AS45" s="1"/>
  <c r="AT43"/>
  <c r="AS39"/>
  <c r="AS40" s="1"/>
  <c r="AT38"/>
  <c r="AS54"/>
  <c r="AS55" s="1"/>
  <c r="AT53"/>
  <c r="AS49"/>
  <c r="AS50" s="1"/>
  <c r="AT48"/>
  <c r="AS34"/>
  <c r="AS35" s="1"/>
  <c r="AU20" i="11"/>
  <c r="AV20" s="1"/>
  <c r="AV12"/>
  <c r="AV11"/>
  <c r="AW12" i="10"/>
  <c r="AX7"/>
  <c r="G88"/>
  <c r="AK17" s="1"/>
  <c r="AH10" i="11" s="1"/>
  <c r="AR6" i="10"/>
  <c r="AR13"/>
  <c r="AR11" s="1"/>
  <c r="AS8"/>
  <c r="AQ11"/>
  <c r="AI22" i="8"/>
  <c r="AI18" s="1"/>
  <c r="AJ21"/>
  <c r="AG10" i="11"/>
  <c r="F89" i="10"/>
  <c r="D90" s="1"/>
  <c r="F90" s="1"/>
  <c r="D91" s="1"/>
  <c r="F91" s="1"/>
  <c r="D92" s="1"/>
  <c r="AT34" i="5" l="1"/>
  <c r="AU33"/>
  <c r="AV33"/>
  <c r="AT49"/>
  <c r="AT50" s="1"/>
  <c r="AU50" s="1"/>
  <c r="AU48"/>
  <c r="AV48"/>
  <c r="AT54"/>
  <c r="AT55" s="1"/>
  <c r="AU55" s="1"/>
  <c r="AU53"/>
  <c r="AV53"/>
  <c r="AT39"/>
  <c r="AT40" s="1"/>
  <c r="AU40" s="1"/>
  <c r="AU38"/>
  <c r="AV38"/>
  <c r="AT44"/>
  <c r="AT45" s="1"/>
  <c r="AU45" s="1"/>
  <c r="AU43"/>
  <c r="AV43"/>
  <c r="AX12" i="10"/>
  <c r="AY7"/>
  <c r="G91"/>
  <c r="AL17" s="1"/>
  <c r="AI10" i="11" s="1"/>
  <c r="AJ10" s="1"/>
  <c r="AJ18" i="8"/>
  <c r="E94" i="10"/>
  <c r="E92"/>
  <c r="F92" s="1"/>
  <c r="D93" s="1"/>
  <c r="E93"/>
  <c r="AM21" i="8"/>
  <c r="AQ16" i="10"/>
  <c r="AR16" s="1"/>
  <c r="AS13"/>
  <c r="AT8"/>
  <c r="AS6"/>
  <c r="AJ22" i="8"/>
  <c r="E97" i="10"/>
  <c r="E95"/>
  <c r="E96"/>
  <c r="AN21" i="8"/>
  <c r="AT35" i="5" l="1"/>
  <c r="AU35" s="1"/>
  <c r="F93" i="10"/>
  <c r="D94" s="1"/>
  <c r="F94" s="1"/>
  <c r="D95" s="1"/>
  <c r="F95" s="1"/>
  <c r="D96" s="1"/>
  <c r="F96" s="1"/>
  <c r="D97" s="1"/>
  <c r="F97" s="1"/>
  <c r="D98" s="1"/>
  <c r="AU54" i="5"/>
  <c r="AU49"/>
  <c r="AV44"/>
  <c r="AW43"/>
  <c r="AV54"/>
  <c r="AW53"/>
  <c r="AV34"/>
  <c r="AV35" s="1"/>
  <c r="AW33"/>
  <c r="AM17" i="10"/>
  <c r="AU44" i="5"/>
  <c r="AU34"/>
  <c r="AV39"/>
  <c r="AW38"/>
  <c r="AV49"/>
  <c r="AW48"/>
  <c r="AU39"/>
  <c r="AY12" i="10"/>
  <c r="AZ12" s="1"/>
  <c r="AZ7"/>
  <c r="AS11"/>
  <c r="AS16" s="1"/>
  <c r="AM22" i="8"/>
  <c r="AM18" s="1"/>
  <c r="AN22"/>
  <c r="AT6" i="10"/>
  <c r="AT13"/>
  <c r="AT11" s="1"/>
  <c r="AU8"/>
  <c r="G94" l="1"/>
  <c r="AQ17" s="1"/>
  <c r="AM10" i="11" s="1"/>
  <c r="AV50" i="5"/>
  <c r="AV40"/>
  <c r="AW34"/>
  <c r="AW35" s="1"/>
  <c r="AX33"/>
  <c r="AW54"/>
  <c r="AW55" s="1"/>
  <c r="AX53"/>
  <c r="AW44"/>
  <c r="AW45" s="1"/>
  <c r="AX43"/>
  <c r="AW49"/>
  <c r="AW50" s="1"/>
  <c r="AX48"/>
  <c r="AW39"/>
  <c r="AW40" s="1"/>
  <c r="AX38"/>
  <c r="AV55"/>
  <c r="AV45"/>
  <c r="E103" i="10"/>
  <c r="E101"/>
  <c r="E102"/>
  <c r="AP21" i="8"/>
  <c r="E100" i="10"/>
  <c r="E98"/>
  <c r="F98" s="1"/>
  <c r="D99" s="1"/>
  <c r="E99"/>
  <c r="AO21" i="8"/>
  <c r="AT16" i="10"/>
  <c r="AU16" s="1"/>
  <c r="AV8"/>
  <c r="AU6"/>
  <c r="AN18" i="8"/>
  <c r="AU13" i="10"/>
  <c r="AU11" s="1"/>
  <c r="G97"/>
  <c r="AR17" s="1"/>
  <c r="AN10" i="11" s="1"/>
  <c r="AX39" i="5" l="1"/>
  <c r="AY38"/>
  <c r="AX49"/>
  <c r="AY48"/>
  <c r="AX44"/>
  <c r="AY43"/>
  <c r="AX54"/>
  <c r="AY53"/>
  <c r="AX34"/>
  <c r="AX35" s="1"/>
  <c r="AY33"/>
  <c r="F99" i="10"/>
  <c r="D100" s="1"/>
  <c r="F100" s="1"/>
  <c r="D101" s="1"/>
  <c r="AO22" i="8"/>
  <c r="AO18" s="1"/>
  <c r="AQ21"/>
  <c r="AP22"/>
  <c r="AP18" s="1"/>
  <c r="AV6" i="10"/>
  <c r="AV13"/>
  <c r="AW8"/>
  <c r="AY34" i="5" l="1"/>
  <c r="AY35" s="1"/>
  <c r="AZ35" s="1"/>
  <c r="AZ33"/>
  <c r="AY54"/>
  <c r="AY55" s="1"/>
  <c r="AZ53"/>
  <c r="AY44"/>
  <c r="AY45" s="1"/>
  <c r="AZ43"/>
  <c r="AY49"/>
  <c r="AY50" s="1"/>
  <c r="AZ48"/>
  <c r="AY39"/>
  <c r="AY40" s="1"/>
  <c r="AZ38"/>
  <c r="G100" i="10"/>
  <c r="AS17" s="1"/>
  <c r="AO10" i="11" s="1"/>
  <c r="AX55" i="5"/>
  <c r="AZ55" s="1"/>
  <c r="AZ54"/>
  <c r="AX45"/>
  <c r="AX50"/>
  <c r="AZ50" s="1"/>
  <c r="AZ49"/>
  <c r="AX40"/>
  <c r="AQ18" i="8"/>
  <c r="AV11" i="10"/>
  <c r="AW13"/>
  <c r="AW11" s="1"/>
  <c r="AX8"/>
  <c r="AW6"/>
  <c r="AQ22" i="8"/>
  <c r="F101" i="10"/>
  <c r="D102" s="1"/>
  <c r="F102" s="1"/>
  <c r="D103" s="1"/>
  <c r="F103" s="1"/>
  <c r="D104" s="1"/>
  <c r="AZ39" i="5" l="1"/>
  <c r="AZ44"/>
  <c r="AZ34"/>
  <c r="AZ40"/>
  <c r="AZ45"/>
  <c r="E106" i="10"/>
  <c r="E104"/>
  <c r="F104" s="1"/>
  <c r="D105" s="1"/>
  <c r="E105"/>
  <c r="AR21" i="8"/>
  <c r="AV16" i="10"/>
  <c r="AW16" s="1"/>
  <c r="AX6"/>
  <c r="AX13"/>
  <c r="AX11" s="1"/>
  <c r="AY8"/>
  <c r="G103"/>
  <c r="AT17" s="1"/>
  <c r="E108"/>
  <c r="E109"/>
  <c r="E107"/>
  <c r="AS21" i="8"/>
  <c r="F105" i="10" l="1"/>
  <c r="D106" s="1"/>
  <c r="F106" s="1"/>
  <c r="D107" s="1"/>
  <c r="F107" s="1"/>
  <c r="D108" s="1"/>
  <c r="F108" s="1"/>
  <c r="D109" s="1"/>
  <c r="F109" s="1"/>
  <c r="D110" s="1"/>
  <c r="AX16"/>
  <c r="AS22" i="8"/>
  <c r="AS18" s="1"/>
  <c r="AP10" i="11"/>
  <c r="AU17" i="10"/>
  <c r="E111"/>
  <c r="E112"/>
  <c r="E110"/>
  <c r="AT21" i="8"/>
  <c r="AY13" i="10"/>
  <c r="AY11" s="1"/>
  <c r="AZ8"/>
  <c r="AZ6" s="1"/>
  <c r="AY6"/>
  <c r="AR22" i="8"/>
  <c r="G106" i="10" l="1"/>
  <c r="AV17" s="1"/>
  <c r="AR10" i="11" s="1"/>
  <c r="G109" i="10"/>
  <c r="AW17" s="1"/>
  <c r="AS10" i="11" s="1"/>
  <c r="AT22" i="8"/>
  <c r="AR18"/>
  <c r="AZ13" i="10"/>
  <c r="AZ11" s="1"/>
  <c r="AQ10" i="11"/>
  <c r="E114" i="10"/>
  <c r="E115"/>
  <c r="E113"/>
  <c r="AU21" i="8"/>
  <c r="AY16" i="10"/>
  <c r="AZ16" s="1"/>
  <c r="F110"/>
  <c r="D111" s="1"/>
  <c r="F111" s="1"/>
  <c r="D112" s="1"/>
  <c r="F112" s="1"/>
  <c r="D113" s="1"/>
  <c r="G112" l="1"/>
  <c r="AX17" s="1"/>
  <c r="AU22" i="8"/>
  <c r="AV22" s="1"/>
  <c r="F113" i="10"/>
  <c r="D114" s="1"/>
  <c r="F114" s="1"/>
  <c r="D115" s="1"/>
  <c r="F115" s="1"/>
  <c r="AV21" i="8"/>
  <c r="AT18"/>
  <c r="G115" i="10" l="1"/>
  <c r="AY17" s="1"/>
  <c r="AU10" i="11" s="1"/>
  <c r="AU18" i="8"/>
  <c r="AT10" i="11"/>
  <c r="AZ17" i="10" l="1"/>
  <c r="AV10" i="11"/>
  <c r="AV18" i="8"/>
  <c r="AI23" i="5"/>
  <c r="AI24"/>
  <c r="AI56" s="1"/>
  <c r="AD23"/>
  <c r="AD24" s="1"/>
  <c r="AH23"/>
  <c r="Q23"/>
  <c r="I24"/>
  <c r="J23"/>
  <c r="AE23" l="1"/>
  <c r="AE24" s="1"/>
  <c r="AE56" s="1"/>
  <c r="Q24"/>
  <c r="Q56" s="1"/>
  <c r="O6" i="12" s="1"/>
  <c r="AF6"/>
  <c r="AI57" i="5"/>
  <c r="AF28" i="8"/>
  <c r="AF8" i="13"/>
  <c r="AD25" i="5"/>
  <c r="AD56"/>
  <c r="K23"/>
  <c r="I25"/>
  <c r="R23"/>
  <c r="AI25"/>
  <c r="I56"/>
  <c r="J24"/>
  <c r="AJ23"/>
  <c r="AJ24" s="1"/>
  <c r="Q25" l="1"/>
  <c r="O28" i="8"/>
  <c r="O29" s="1"/>
  <c r="O27" s="1"/>
  <c r="Q57" i="5"/>
  <c r="Q58" s="1"/>
  <c r="AE25"/>
  <c r="O8" i="13"/>
  <c r="O7" s="1"/>
  <c r="I57" i="5"/>
  <c r="H28" i="8"/>
  <c r="H8" i="13"/>
  <c r="H6" i="12"/>
  <c r="AF23" i="5"/>
  <c r="AF24" s="1"/>
  <c r="AK23"/>
  <c r="AK24" s="1"/>
  <c r="K24"/>
  <c r="S23"/>
  <c r="L23"/>
  <c r="AA28" i="8"/>
  <c r="AD57" i="5"/>
  <c r="AA6" i="12"/>
  <c r="AA8" i="13"/>
  <c r="O8" i="12"/>
  <c r="L117" i="2"/>
  <c r="AF7" i="13"/>
  <c r="AF7" i="11"/>
  <c r="AB8" i="13"/>
  <c r="AB7" s="1"/>
  <c r="AE57" i="5"/>
  <c r="AB7" i="11" s="1"/>
  <c r="AB6" i="12"/>
  <c r="AB28" i="8"/>
  <c r="AJ25" i="5"/>
  <c r="AJ56"/>
  <c r="J56"/>
  <c r="J25"/>
  <c r="R24"/>
  <c r="AR24"/>
  <c r="AI58"/>
  <c r="AF29" i="8"/>
  <c r="AF27" s="1"/>
  <c r="AF8" i="12"/>
  <c r="X117" i="2"/>
  <c r="O7" i="11" l="1"/>
  <c r="AE58" i="5"/>
  <c r="AR25"/>
  <c r="AR56"/>
  <c r="I8" i="13"/>
  <c r="I7" s="1"/>
  <c r="J57" i="5"/>
  <c r="I7" i="11" s="1"/>
  <c r="I6" i="12"/>
  <c r="I28" i="8"/>
  <c r="U117" i="2"/>
  <c r="AB8" i="12"/>
  <c r="AA7" i="13"/>
  <c r="AA7" i="11"/>
  <c r="AD58" i="5"/>
  <c r="AS24"/>
  <c r="S24"/>
  <c r="K56"/>
  <c r="K25"/>
  <c r="AF56"/>
  <c r="AF25"/>
  <c r="H7" i="13"/>
  <c r="H7" i="11"/>
  <c r="AF20" i="12"/>
  <c r="AF17" i="8"/>
  <c r="AH13" i="14" s="1"/>
  <c r="AH14" s="1"/>
  <c r="AF16" i="13"/>
  <c r="AF9" i="12"/>
  <c r="AF31" i="8"/>
  <c r="O9" i="12"/>
  <c r="O16" i="13"/>
  <c r="O17" i="8"/>
  <c r="O31"/>
  <c r="D9" i="9"/>
  <c r="E9" s="1"/>
  <c r="R56" i="5"/>
  <c r="R25"/>
  <c r="AJ57"/>
  <c r="AJ58" s="1"/>
  <c r="AG8" i="13"/>
  <c r="AG6" i="12"/>
  <c r="AG28" i="8"/>
  <c r="AB29"/>
  <c r="AB27" s="1"/>
  <c r="O20" i="12"/>
  <c r="T117" i="2"/>
  <c r="AA8" i="12"/>
  <c r="AA29" i="8"/>
  <c r="AA27" s="1"/>
  <c r="AL23" i="5"/>
  <c r="AQ23" s="1"/>
  <c r="AQ24" s="1"/>
  <c r="L24"/>
  <c r="AG23"/>
  <c r="AG24" s="1"/>
  <c r="T23"/>
  <c r="M23"/>
  <c r="AK25"/>
  <c r="AK56"/>
  <c r="H8" i="12"/>
  <c r="H117" i="2"/>
  <c r="H29" i="8"/>
  <c r="H27" s="1"/>
  <c r="I58" i="5"/>
  <c r="AU23" l="1"/>
  <c r="V23"/>
  <c r="AQ25"/>
  <c r="AQ56"/>
  <c r="J58"/>
  <c r="AA16" i="13"/>
  <c r="AA17" i="8"/>
  <c r="AA9" i="12"/>
  <c r="AA31" i="8"/>
  <c r="H20" i="12"/>
  <c r="H18" s="1"/>
  <c r="Z23" i="5"/>
  <c r="Z24" s="1"/>
  <c r="Z25" s="1"/>
  <c r="U23"/>
  <c r="W23" s="1"/>
  <c r="AL24"/>
  <c r="AM23"/>
  <c r="AH8" i="13"/>
  <c r="AH7" s="1"/>
  <c r="AK57" i="5"/>
  <c r="AH7" i="11" s="1"/>
  <c r="AH6" i="12"/>
  <c r="AH28" i="8"/>
  <c r="T24" i="5"/>
  <c r="AT24"/>
  <c r="L56"/>
  <c r="L25"/>
  <c r="M25" s="1"/>
  <c r="AA20" i="12"/>
  <c r="AG8"/>
  <c r="Y117" i="2"/>
  <c r="AG7" i="13"/>
  <c r="AF30" i="8"/>
  <c r="AF10" i="12"/>
  <c r="S56" i="5"/>
  <c r="S25"/>
  <c r="AB20" i="12"/>
  <c r="I29" i="8"/>
  <c r="I27" s="1"/>
  <c r="AN8" i="13"/>
  <c r="AR57" i="5"/>
  <c r="AR58" s="1"/>
  <c r="AN6" i="12"/>
  <c r="AN28" i="8"/>
  <c r="H17"/>
  <c r="H16" i="13"/>
  <c r="H9" i="12"/>
  <c r="H31" i="8"/>
  <c r="AG56" i="5"/>
  <c r="AH56" s="1"/>
  <c r="AG25"/>
  <c r="AH25" s="1"/>
  <c r="AB31" i="8"/>
  <c r="AB17"/>
  <c r="AB16" i="13"/>
  <c r="AB9" i="12"/>
  <c r="AG29" i="8"/>
  <c r="AG27" s="1"/>
  <c r="AG7" i="11"/>
  <c r="P8" i="13"/>
  <c r="P6" i="12"/>
  <c r="P28" i="8"/>
  <c r="R57" i="5"/>
  <c r="R58" s="1"/>
  <c r="O10" i="12"/>
  <c r="O30" i="8"/>
  <c r="O13" i="14"/>
  <c r="O14" s="1"/>
  <c r="M24" i="5"/>
  <c r="AH24"/>
  <c r="AC8" i="13"/>
  <c r="AF57" i="5"/>
  <c r="AF58" s="1"/>
  <c r="AC6" i="12"/>
  <c r="AC28" i="8"/>
  <c r="J8" i="13"/>
  <c r="K57" i="5"/>
  <c r="K58" s="1"/>
  <c r="J6" i="12"/>
  <c r="J28" i="8"/>
  <c r="AS56" i="5"/>
  <c r="AS25"/>
  <c r="I8" i="12"/>
  <c r="I117" i="2"/>
  <c r="Y23" i="5" l="1"/>
  <c r="AW23"/>
  <c r="AW24" s="1"/>
  <c r="W24"/>
  <c r="AM8" i="13"/>
  <c r="AM7" s="1"/>
  <c r="AM28" i="8"/>
  <c r="AM6" i="12"/>
  <c r="AQ57" i="5"/>
  <c r="X23"/>
  <c r="AV23"/>
  <c r="AV24" s="1"/>
  <c r="V24"/>
  <c r="AC8" i="12"/>
  <c r="V117" i="2"/>
  <c r="O8" i="11"/>
  <c r="P7"/>
  <c r="P8" i="12"/>
  <c r="M117" i="2"/>
  <c r="AG17" i="8"/>
  <c r="AI13" i="14" s="1"/>
  <c r="AI14" s="1"/>
  <c r="AG31" i="8"/>
  <c r="AG16" i="13"/>
  <c r="AG9" i="12"/>
  <c r="AB30" i="8"/>
  <c r="AB8" i="11" s="1"/>
  <c r="AB6" s="1"/>
  <c r="AB10" i="12"/>
  <c r="AB13" i="14"/>
  <c r="AB14" s="1"/>
  <c r="AD8" i="13"/>
  <c r="AD7" s="1"/>
  <c r="AG57" i="5"/>
  <c r="AD7" i="11" s="1"/>
  <c r="AD6" i="12"/>
  <c r="AD28" i="8"/>
  <c r="AE28" s="1"/>
  <c r="H30"/>
  <c r="H10" i="12"/>
  <c r="H13" i="14"/>
  <c r="H14" s="1"/>
  <c r="AN29" i="8"/>
  <c r="AC117" i="2"/>
  <c r="AN8" i="12"/>
  <c r="AN7" i="13"/>
  <c r="I16"/>
  <c r="I17" i="8"/>
  <c r="I31"/>
  <c r="I9" i="12"/>
  <c r="Q8" i="13"/>
  <c r="Q7" s="1"/>
  <c r="S57" i="5"/>
  <c r="Q7" i="11" s="1"/>
  <c r="Q6" i="12"/>
  <c r="Q28" i="8"/>
  <c r="AF8" i="11"/>
  <c r="K8" i="13"/>
  <c r="K7" s="1"/>
  <c r="L57" i="5"/>
  <c r="K7" i="11" s="1"/>
  <c r="K28" i="8"/>
  <c r="L28" s="1"/>
  <c r="K6" i="12"/>
  <c r="L6" s="1"/>
  <c r="M56" i="5"/>
  <c r="T56"/>
  <c r="U56" s="1"/>
  <c r="T25"/>
  <c r="AH29" i="8"/>
  <c r="AH27" s="1"/>
  <c r="U24" i="5"/>
  <c r="U25" s="1"/>
  <c r="AU24"/>
  <c r="AU25" s="1"/>
  <c r="H7" i="14"/>
  <c r="H12"/>
  <c r="J29" i="8"/>
  <c r="J27" s="1"/>
  <c r="J7" i="11"/>
  <c r="AC7" i="13"/>
  <c r="I20" i="12"/>
  <c r="I18" s="1"/>
  <c r="AO8" i="13"/>
  <c r="AO7" s="1"/>
  <c r="AS57" i="5"/>
  <c r="AO7" i="11" s="1"/>
  <c r="AO6" i="12"/>
  <c r="AO28" i="8"/>
  <c r="J8" i="12"/>
  <c r="J117" i="2"/>
  <c r="J7" i="13"/>
  <c r="AC29" i="8"/>
  <c r="AC7" i="11"/>
  <c r="P29" i="8"/>
  <c r="P27" s="1"/>
  <c r="P7" i="13"/>
  <c r="AN7" i="11"/>
  <c r="AG20" i="12"/>
  <c r="AT56" i="5"/>
  <c r="AT25"/>
  <c r="AK58"/>
  <c r="Z117" i="2"/>
  <c r="AH8" i="12"/>
  <c r="AL25" i="5"/>
  <c r="AM25" s="1"/>
  <c r="AL56"/>
  <c r="AM24"/>
  <c r="AA10" i="12"/>
  <c r="AA30" i="8"/>
  <c r="AA13" i="14"/>
  <c r="AA14" s="1"/>
  <c r="AV56" i="5" l="1"/>
  <c r="AV25"/>
  <c r="AM29" i="8"/>
  <c r="AM27" s="1"/>
  <c r="V25" i="5"/>
  <c r="V56"/>
  <c r="AM8" i="12"/>
  <c r="AM20" s="1"/>
  <c r="AB117" i="2"/>
  <c r="AW25" i="5"/>
  <c r="AW56"/>
  <c r="AQ58"/>
  <c r="AM7" i="11"/>
  <c r="W56" i="5"/>
  <c r="W25"/>
  <c r="Y24"/>
  <c r="AY23"/>
  <c r="X24"/>
  <c r="AX23"/>
  <c r="AX24" s="1"/>
  <c r="L8" i="13"/>
  <c r="AH57" i="5"/>
  <c r="AE8" i="13"/>
  <c r="M57" i="5"/>
  <c r="L58"/>
  <c r="M58" s="1"/>
  <c r="S58"/>
  <c r="AG58"/>
  <c r="AH58" s="1"/>
  <c r="AH16" i="13"/>
  <c r="AH17" i="8"/>
  <c r="AJ13" i="14" s="1"/>
  <c r="AJ14" s="1"/>
  <c r="AH31" i="8"/>
  <c r="AH9" i="12"/>
  <c r="AP8" i="13"/>
  <c r="AP7" s="1"/>
  <c r="AT57" i="5"/>
  <c r="AP7" i="11" s="1"/>
  <c r="AQ7" s="1"/>
  <c r="AP6" i="12"/>
  <c r="AP28" i="8"/>
  <c r="AQ28" s="1"/>
  <c r="P31"/>
  <c r="P17"/>
  <c r="P16" i="13"/>
  <c r="P9" i="12"/>
  <c r="AE7" i="11"/>
  <c r="J20" i="12"/>
  <c r="J18" s="1"/>
  <c r="AO29" i="8"/>
  <c r="AO27" s="1"/>
  <c r="AE7" i="13"/>
  <c r="L7" i="11"/>
  <c r="J17" i="8"/>
  <c r="J31"/>
  <c r="J9" i="12"/>
  <c r="J16" i="13"/>
  <c r="I7" i="14"/>
  <c r="I12"/>
  <c r="R8" i="13"/>
  <c r="T57" i="5"/>
  <c r="R7" i="11" s="1"/>
  <c r="R6" i="12"/>
  <c r="S6" s="1"/>
  <c r="R28" i="8"/>
  <c r="K117" i="2"/>
  <c r="K8" i="12"/>
  <c r="L8" s="1"/>
  <c r="Q29" i="8"/>
  <c r="Q27" s="1"/>
  <c r="I30"/>
  <c r="I8" i="11" s="1"/>
  <c r="I10" i="12"/>
  <c r="I13" i="14"/>
  <c r="I14" s="1"/>
  <c r="W117" i="2"/>
  <c r="AD8" i="12"/>
  <c r="P20"/>
  <c r="AE6"/>
  <c r="AC20"/>
  <c r="AA8" i="11"/>
  <c r="AH20" i="12"/>
  <c r="AU56" i="5"/>
  <c r="AI8" i="13"/>
  <c r="AL57" i="5"/>
  <c r="AL58" s="1"/>
  <c r="AM58" s="1"/>
  <c r="AI28" i="8"/>
  <c r="AI6" i="12"/>
  <c r="AM56" i="5"/>
  <c r="AC27" i="8"/>
  <c r="L7" i="13"/>
  <c r="AS58" i="5"/>
  <c r="AO8" i="12"/>
  <c r="AD117" i="2"/>
  <c r="K29" i="8"/>
  <c r="L29" s="1"/>
  <c r="AF6" i="11"/>
  <c r="Q8" i="12"/>
  <c r="N117" i="2"/>
  <c r="AN20" i="12"/>
  <c r="AN27" i="8"/>
  <c r="H8" i="11"/>
  <c r="AD29" i="8"/>
  <c r="AE29" s="1"/>
  <c r="AB11" i="12"/>
  <c r="AB19" s="1"/>
  <c r="AG30" i="8"/>
  <c r="AG10" i="12"/>
  <c r="O6" i="11"/>
  <c r="O22"/>
  <c r="AM17" i="8" l="1"/>
  <c r="AO13" i="14" s="1"/>
  <c r="AO14" s="1"/>
  <c r="AM16" i="13"/>
  <c r="AM31" i="8"/>
  <c r="AM9" i="12"/>
  <c r="U8" i="13"/>
  <c r="U7" s="1"/>
  <c r="U6" i="12"/>
  <c r="U28" i="8"/>
  <c r="W57" i="5"/>
  <c r="U7" i="11" s="1"/>
  <c r="W58" i="5"/>
  <c r="AV57"/>
  <c r="AR8" i="13"/>
  <c r="AR7" s="1"/>
  <c r="AR28" i="8"/>
  <c r="AR6" i="12"/>
  <c r="AX56" i="5"/>
  <c r="AX25"/>
  <c r="T28" i="8"/>
  <c r="T6" i="12"/>
  <c r="T8" i="13"/>
  <c r="T7" s="1"/>
  <c r="V57" i="5"/>
  <c r="T7" i="11" s="1"/>
  <c r="Y25" i="5"/>
  <c r="Y56"/>
  <c r="Z56" s="1"/>
  <c r="X56"/>
  <c r="X25"/>
  <c r="AS8" i="13"/>
  <c r="AS7" s="1"/>
  <c r="AW57" i="5"/>
  <c r="AS6" i="12"/>
  <c r="AS28" i="8"/>
  <c r="AZ23" i="5"/>
  <c r="AZ24" s="1"/>
  <c r="AZ25" s="1"/>
  <c r="AY24"/>
  <c r="AU57"/>
  <c r="AQ8" i="13"/>
  <c r="T58" i="5"/>
  <c r="U58" s="1"/>
  <c r="AT58"/>
  <c r="AU58" s="1"/>
  <c r="AD27" i="8"/>
  <c r="AD16" i="13" s="1"/>
  <c r="AB13" i="11"/>
  <c r="AB21" i="12"/>
  <c r="U111" i="2" s="1"/>
  <c r="Q31" i="8"/>
  <c r="Q9" i="12"/>
  <c r="Q17" i="8"/>
  <c r="Q16" i="13"/>
  <c r="AG8" i="11"/>
  <c r="H22"/>
  <c r="I22" s="1"/>
  <c r="H6"/>
  <c r="AN17" i="8"/>
  <c r="AP13" i="14" s="1"/>
  <c r="AP14" s="1"/>
  <c r="AN31" i="8"/>
  <c r="AN9" i="12"/>
  <c r="AN16" i="13"/>
  <c r="AF11" i="12"/>
  <c r="AO20"/>
  <c r="AC17" i="8"/>
  <c r="AC31"/>
  <c r="AC9" i="12"/>
  <c r="AC16" i="13"/>
  <c r="AI7" i="11"/>
  <c r="AM57" i="5"/>
  <c r="AD20" i="12"/>
  <c r="R29" i="8"/>
  <c r="R27" s="1"/>
  <c r="S28"/>
  <c r="AO31"/>
  <c r="AO9" i="12"/>
  <c r="AO17" i="8"/>
  <c r="AQ13" i="14" s="1"/>
  <c r="AQ14" s="1"/>
  <c r="AO16" i="13"/>
  <c r="AP8" i="12"/>
  <c r="AE117" i="2"/>
  <c r="AQ6" i="12"/>
  <c r="AH30" i="8"/>
  <c r="AH8" i="11" s="1"/>
  <c r="AH6" s="1"/>
  <c r="AH10" i="12"/>
  <c r="O11"/>
  <c r="U57" i="5"/>
  <c r="AQ7" i="13"/>
  <c r="Q20" i="12"/>
  <c r="K27" i="8"/>
  <c r="S29"/>
  <c r="AI8" i="12"/>
  <c r="AA117" i="2"/>
  <c r="AJ6" i="12"/>
  <c r="AI29" i="8"/>
  <c r="AJ29" s="1"/>
  <c r="AJ28"/>
  <c r="AI7" i="13"/>
  <c r="AJ8"/>
  <c r="AA6" i="11"/>
  <c r="AE8" i="12"/>
  <c r="S7" i="11"/>
  <c r="I6"/>
  <c r="K20" i="12"/>
  <c r="K18" s="1"/>
  <c r="R8"/>
  <c r="S8" s="1"/>
  <c r="O117" i="2"/>
  <c r="R7" i="13"/>
  <c r="S8"/>
  <c r="J7" i="14"/>
  <c r="J12"/>
  <c r="J30" i="8"/>
  <c r="J10" i="12"/>
  <c r="J13" i="14"/>
  <c r="J14" s="1"/>
  <c r="P30" i="8"/>
  <c r="P10" i="12"/>
  <c r="P13" i="14"/>
  <c r="P14" s="1"/>
  <c r="AP29" i="8"/>
  <c r="AQ29" s="1"/>
  <c r="T8" i="12" l="1"/>
  <c r="T20" s="1"/>
  <c r="P117" i="2"/>
  <c r="AR8" i="12"/>
  <c r="AR20" s="1"/>
  <c r="AF117" i="2"/>
  <c r="AM30" i="8"/>
  <c r="AM8" i="11" s="1"/>
  <c r="AM6" s="1"/>
  <c r="AM10" i="12"/>
  <c r="AY56" i="5"/>
  <c r="AY25"/>
  <c r="AW58"/>
  <c r="AS7" i="11"/>
  <c r="AT8" i="13"/>
  <c r="AT7" s="1"/>
  <c r="AX57" i="5"/>
  <c r="AT7" i="11" s="1"/>
  <c r="AT6" i="12"/>
  <c r="AT28" i="8"/>
  <c r="AT29" s="1"/>
  <c r="AT27" s="1"/>
  <c r="AV58" i="5"/>
  <c r="AR7" i="11"/>
  <c r="AS8" i="12"/>
  <c r="AS20" s="1"/>
  <c r="AG117" i="2"/>
  <c r="V6" i="12"/>
  <c r="X57" i="5"/>
  <c r="V8" i="13"/>
  <c r="V7" s="1"/>
  <c r="V28" i="8"/>
  <c r="U29"/>
  <c r="U27" s="1"/>
  <c r="W8" i="13"/>
  <c r="W7" s="1"/>
  <c r="Y57" i="5"/>
  <c r="W7" i="11" s="1"/>
  <c r="W28" i="8"/>
  <c r="W29" s="1"/>
  <c r="W6" i="12"/>
  <c r="U8"/>
  <c r="U20" s="1"/>
  <c r="Q117" i="2"/>
  <c r="AS29" i="8"/>
  <c r="AS27" s="1"/>
  <c r="T29"/>
  <c r="T27" s="1"/>
  <c r="AR29"/>
  <c r="AR27" s="1"/>
  <c r="AZ56" i="5"/>
  <c r="X8" i="13"/>
  <c r="V58" i="5"/>
  <c r="AE27" i="8"/>
  <c r="AE31" s="1"/>
  <c r="AD9" i="12"/>
  <c r="AE9" s="1"/>
  <c r="AD17" i="8"/>
  <c r="AD13" i="14" s="1"/>
  <c r="AD14" s="1"/>
  <c r="AI27" i="8"/>
  <c r="AI17" s="1"/>
  <c r="AK13" i="14" s="1"/>
  <c r="AK14" s="1"/>
  <c r="AE16" i="13"/>
  <c r="AD31" i="8"/>
  <c r="O18" i="12"/>
  <c r="K7" i="14"/>
  <c r="L7" s="1"/>
  <c r="K12"/>
  <c r="AA11" i="12"/>
  <c r="AH11"/>
  <c r="AH19" s="1"/>
  <c r="AP20"/>
  <c r="AQ8"/>
  <c r="R16" i="13"/>
  <c r="S16" s="1"/>
  <c r="R9" i="12"/>
  <c r="S9" s="1"/>
  <c r="R17" i="8"/>
  <c r="R31"/>
  <c r="AJ7" i="11"/>
  <c r="AF19" i="12"/>
  <c r="AN10"/>
  <c r="AN30" i="8"/>
  <c r="AB19" i="11"/>
  <c r="AB15" i="12"/>
  <c r="AB16" s="1"/>
  <c r="AB17" s="1"/>
  <c r="AB18" i="11"/>
  <c r="J8"/>
  <c r="AP27" i="8"/>
  <c r="P8" i="11"/>
  <c r="S7" i="13"/>
  <c r="R20" i="12"/>
  <c r="I11"/>
  <c r="I19" s="1"/>
  <c r="AJ7" i="13"/>
  <c r="AI20" i="12"/>
  <c r="AJ8"/>
  <c r="K17" i="8"/>
  <c r="K9" i="12"/>
  <c r="K16" i="13"/>
  <c r="L16" s="1"/>
  <c r="K31" i="8"/>
  <c r="L27"/>
  <c r="L31" s="1"/>
  <c r="O19" i="12"/>
  <c r="AO30" i="8"/>
  <c r="AO8" i="11" s="1"/>
  <c r="AO6" s="1"/>
  <c r="AO10" i="12"/>
  <c r="W27" i="8"/>
  <c r="AC30"/>
  <c r="AC10" i="12"/>
  <c r="AC13" i="14"/>
  <c r="AC14" s="1"/>
  <c r="H11" i="12"/>
  <c r="AG6" i="11"/>
  <c r="S27" i="8"/>
  <c r="S31" s="1"/>
  <c r="Q30"/>
  <c r="Q8" i="11" s="1"/>
  <c r="Q6" s="1"/>
  <c r="Q10" i="12"/>
  <c r="Q13" i="14"/>
  <c r="Q14" s="1"/>
  <c r="AX58" i="5" l="1"/>
  <c r="AR31" i="8"/>
  <c r="AR17"/>
  <c r="AT13" i="14" s="1"/>
  <c r="AT14" s="1"/>
  <c r="AR9" i="12"/>
  <c r="AR16" i="13"/>
  <c r="AS31" i="8"/>
  <c r="AS9" i="12"/>
  <c r="AS16" i="13"/>
  <c r="AS17" i="8"/>
  <c r="AU13" i="14" s="1"/>
  <c r="AU14" s="1"/>
  <c r="U16" i="13"/>
  <c r="U31" i="8"/>
  <c r="U17"/>
  <c r="U9" i="12"/>
  <c r="AT8"/>
  <c r="AT20" s="1"/>
  <c r="AH117" i="2"/>
  <c r="AT9" i="12"/>
  <c r="AT16" i="13"/>
  <c r="AT17" i="8"/>
  <c r="AV13" i="14" s="1"/>
  <c r="AV14" s="1"/>
  <c r="AT31" i="8"/>
  <c r="S117" i="2"/>
  <c r="W8" i="12"/>
  <c r="V29" i="8"/>
  <c r="V27" s="1"/>
  <c r="X28"/>
  <c r="AY57" i="5"/>
  <c r="AU8" i="13"/>
  <c r="AU28" i="8"/>
  <c r="AU29" s="1"/>
  <c r="AV29" s="1"/>
  <c r="AU6" i="12"/>
  <c r="Y58" i="5"/>
  <c r="T17" i="8"/>
  <c r="T9" i="12"/>
  <c r="T16" i="13"/>
  <c r="T31" i="8"/>
  <c r="V7" i="11"/>
  <c r="X7" s="1"/>
  <c r="Z57" i="5"/>
  <c r="V8" i="12"/>
  <c r="V20" s="1"/>
  <c r="R117" i="2"/>
  <c r="X6" i="12"/>
  <c r="X7" i="13"/>
  <c r="X58" i="5"/>
  <c r="AD30" i="8"/>
  <c r="AD8" i="11" s="1"/>
  <c r="AD6" s="1"/>
  <c r="AD11" i="12" s="1"/>
  <c r="AE17" i="8"/>
  <c r="AE13" i="14" s="1"/>
  <c r="AE14" s="1"/>
  <c r="AD10" i="12"/>
  <c r="AE10" s="1"/>
  <c r="AE20" s="1"/>
  <c r="AI16" i="13"/>
  <c r="AJ16" s="1"/>
  <c r="AJ27" i="8"/>
  <c r="AJ31" s="1"/>
  <c r="AI31"/>
  <c r="AU27"/>
  <c r="AU17" s="1"/>
  <c r="AW13" i="14" s="1"/>
  <c r="AW14" s="1"/>
  <c r="AI9" i="12"/>
  <c r="AJ9" s="1"/>
  <c r="AB17" i="11"/>
  <c r="AB15" i="13" s="1"/>
  <c r="AB11" s="1"/>
  <c r="AB17" s="1"/>
  <c r="AB39" s="1"/>
  <c r="H19" i="12"/>
  <c r="W31" i="8"/>
  <c r="W9" i="12"/>
  <c r="W17" i="8"/>
  <c r="W16" i="13"/>
  <c r="X27" i="8"/>
  <c r="X31" s="1"/>
  <c r="AO11" i="12"/>
  <c r="AO19" s="1"/>
  <c r="O13" i="11"/>
  <c r="O21" i="12"/>
  <c r="L111" i="2" s="1"/>
  <c r="K30" i="8"/>
  <c r="K10" i="12"/>
  <c r="L10" s="1"/>
  <c r="K13" i="14"/>
  <c r="K14" s="1"/>
  <c r="L17" i="8"/>
  <c r="L13" i="14" s="1"/>
  <c r="L14" s="1"/>
  <c r="AM11" i="12"/>
  <c r="I13" i="11"/>
  <c r="I21" i="12"/>
  <c r="I111" i="2" s="1"/>
  <c r="AP17" i="8"/>
  <c r="AR13" i="14" s="1"/>
  <c r="AR14" s="1"/>
  <c r="AP16" i="13"/>
  <c r="AQ16" s="1"/>
  <c r="AP31" i="8"/>
  <c r="AP9" i="12"/>
  <c r="AQ27" i="8"/>
  <c r="AQ31" s="1"/>
  <c r="J6" i="11"/>
  <c r="J22"/>
  <c r="R30" i="8"/>
  <c r="R8" i="11" s="1"/>
  <c r="R6" s="1"/>
  <c r="R10" i="12"/>
  <c r="R13" i="14"/>
  <c r="R14" s="1"/>
  <c r="S17" i="8"/>
  <c r="S13" i="14" s="1"/>
  <c r="S14" s="1"/>
  <c r="AI30" i="8"/>
  <c r="AI10" i="12"/>
  <c r="AJ17" i="8"/>
  <c r="AL13" i="14" s="1"/>
  <c r="AL14" s="1"/>
  <c r="Q11" i="12"/>
  <c r="Q19" s="1"/>
  <c r="AG11"/>
  <c r="AC8" i="11"/>
  <c r="AH13"/>
  <c r="AH21" i="12"/>
  <c r="Z111" i="2" s="1"/>
  <c r="L9" i="12"/>
  <c r="P6" i="11"/>
  <c r="P22"/>
  <c r="Q22" s="1"/>
  <c r="AN8"/>
  <c r="AF13"/>
  <c r="AF21" i="12"/>
  <c r="X111" i="2" s="1"/>
  <c r="AA19" i="12"/>
  <c r="P18"/>
  <c r="O7" i="14"/>
  <c r="O12"/>
  <c r="Z58" i="5" l="1"/>
  <c r="AT30" i="8"/>
  <c r="AT8" i="11" s="1"/>
  <c r="AT6" s="1"/>
  <c r="AT11" i="12" s="1"/>
  <c r="AT19" s="1"/>
  <c r="AT21" s="1"/>
  <c r="AH111" i="2" s="1"/>
  <c r="AT10" i="12"/>
  <c r="AU7" i="11"/>
  <c r="AV7" s="1"/>
  <c r="AY58" i="5"/>
  <c r="AZ58" s="1"/>
  <c r="AZ57"/>
  <c r="U10" i="12"/>
  <c r="U30" i="8"/>
  <c r="U8" i="11" s="1"/>
  <c r="U13" i="14"/>
  <c r="U14" s="1"/>
  <c r="X29" i="8"/>
  <c r="V9" i="12"/>
  <c r="X9" s="1"/>
  <c r="V17" i="8"/>
  <c r="V31"/>
  <c r="V16" i="13"/>
  <c r="X16" s="1"/>
  <c r="T30" i="8"/>
  <c r="T8" i="11" s="1"/>
  <c r="T6" s="1"/>
  <c r="T11" i="12" s="1"/>
  <c r="T10"/>
  <c r="T13" i="14"/>
  <c r="T14" s="1"/>
  <c r="AU8" i="12"/>
  <c r="AU20" s="1"/>
  <c r="AI117" i="2"/>
  <c r="AI115" s="1"/>
  <c r="AR30" i="8"/>
  <c r="AR8" i="11" s="1"/>
  <c r="AR6" s="1"/>
  <c r="AR11" i="12" s="1"/>
  <c r="AR10"/>
  <c r="AV8" i="13"/>
  <c r="AU7"/>
  <c r="AV7" s="1"/>
  <c r="X8" i="12"/>
  <c r="W20"/>
  <c r="AS10"/>
  <c r="AS30" i="8"/>
  <c r="AS8" i="11" s="1"/>
  <c r="AV28" i="8"/>
  <c r="R22" i="11"/>
  <c r="T22" s="1"/>
  <c r="U22" s="1"/>
  <c r="AE30" i="8"/>
  <c r="AD19" i="12"/>
  <c r="AD21" s="1"/>
  <c r="W111" i="2" s="1"/>
  <c r="AU31" i="8"/>
  <c r="AU9" i="12"/>
  <c r="AV9" s="1"/>
  <c r="AV27" i="8"/>
  <c r="AV31" s="1"/>
  <c r="AU16" i="13"/>
  <c r="AV16" s="1"/>
  <c r="AB28"/>
  <c r="S8" i="11"/>
  <c r="AO13"/>
  <c r="AO21" i="12"/>
  <c r="AD111" i="2" s="1"/>
  <c r="L20" i="12"/>
  <c r="U6" i="11"/>
  <c r="Q18" i="12"/>
  <c r="P12" i="14"/>
  <c r="P7"/>
  <c r="AA13" i="11"/>
  <c r="AA21" i="12"/>
  <c r="T111" i="2" s="1"/>
  <c r="AS6" i="11"/>
  <c r="AF15" i="12"/>
  <c r="AF19" i="11"/>
  <c r="AF18"/>
  <c r="AN6"/>
  <c r="AH19"/>
  <c r="AH15" i="12"/>
  <c r="AH16" s="1"/>
  <c r="AH17" s="1"/>
  <c r="AH18" i="11"/>
  <c r="AJ10" i="12"/>
  <c r="AP10"/>
  <c r="AQ10" s="1"/>
  <c r="AP30" i="8"/>
  <c r="AQ17"/>
  <c r="AS13" i="14" s="1"/>
  <c r="AS14" s="1"/>
  <c r="T19" i="12"/>
  <c r="AM19"/>
  <c r="H13" i="11"/>
  <c r="H21" i="12"/>
  <c r="H111" i="2" s="1"/>
  <c r="S10" i="12"/>
  <c r="P11"/>
  <c r="S6" i="11"/>
  <c r="AC6"/>
  <c r="AE8"/>
  <c r="AG19" i="12"/>
  <c r="Q21"/>
  <c r="N111" i="2" s="1"/>
  <c r="Q13" i="11"/>
  <c r="AU30" i="8"/>
  <c r="AU10" i="12"/>
  <c r="AV17" i="8"/>
  <c r="AX13" i="14" s="1"/>
  <c r="AX14" s="1"/>
  <c r="AI8" i="11"/>
  <c r="AJ30" i="8"/>
  <c r="R11" i="12"/>
  <c r="R19" s="1"/>
  <c r="J11"/>
  <c r="AQ9"/>
  <c r="S30" i="8"/>
  <c r="I15" i="12"/>
  <c r="I16" s="1"/>
  <c r="I17" s="1"/>
  <c r="I19" i="11"/>
  <c r="I18"/>
  <c r="K8"/>
  <c r="L30" i="8"/>
  <c r="O15" i="12"/>
  <c r="O19" i="11"/>
  <c r="O18"/>
  <c r="W30" i="8"/>
  <c r="W10" i="12"/>
  <c r="W13" i="14"/>
  <c r="W14" s="1"/>
  <c r="X17" i="8"/>
  <c r="X13" i="14" s="1"/>
  <c r="X14" s="1"/>
  <c r="AT13" i="11" l="1"/>
  <c r="AT18" s="1"/>
  <c r="AR19" i="12"/>
  <c r="AR21" s="1"/>
  <c r="AF111" i="2" s="1"/>
  <c r="V10" i="12"/>
  <c r="X10" s="1"/>
  <c r="X20" s="1"/>
  <c r="V13" i="14"/>
  <c r="V14" s="1"/>
  <c r="V30" i="8"/>
  <c r="V8" i="11" s="1"/>
  <c r="V6" s="1"/>
  <c r="V11" i="12" s="1"/>
  <c r="AV10"/>
  <c r="AV8"/>
  <c r="AD13" i="11"/>
  <c r="AD15" i="12" s="1"/>
  <c r="AD16" s="1"/>
  <c r="AD17" s="1"/>
  <c r="AH17" i="11"/>
  <c r="AH15" i="13" s="1"/>
  <c r="AH11" s="1"/>
  <c r="AH17" s="1"/>
  <c r="AH39" s="1"/>
  <c r="R13" i="11"/>
  <c r="R21" i="12"/>
  <c r="O111" i="2" s="1"/>
  <c r="K22" i="11"/>
  <c r="K6"/>
  <c r="L8"/>
  <c r="AQ20" i="12"/>
  <c r="J19"/>
  <c r="AI6" i="11"/>
  <c r="AJ8"/>
  <c r="Q15" i="12"/>
  <c r="Q16" s="1"/>
  <c r="Q17" s="1"/>
  <c r="Q19" i="11"/>
  <c r="Q18"/>
  <c r="AG13"/>
  <c r="AG21" i="12"/>
  <c r="Y111" i="2" s="1"/>
  <c r="AC11" i="12"/>
  <c r="AE6" i="11"/>
  <c r="P19" i="12"/>
  <c r="S11"/>
  <c r="S19" s="1"/>
  <c r="S21" s="1"/>
  <c r="F112" i="2" s="1"/>
  <c r="S20" i="12"/>
  <c r="H15"/>
  <c r="H19" i="11"/>
  <c r="H18"/>
  <c r="AM13"/>
  <c r="AM21" i="12"/>
  <c r="AB111" i="2" s="1"/>
  <c r="T13" i="11"/>
  <c r="T21" i="12"/>
  <c r="P111" i="2" s="1"/>
  <c r="AN11" i="12"/>
  <c r="AF16"/>
  <c r="AF17" s="1"/>
  <c r="AS11"/>
  <c r="AA15"/>
  <c r="AA19" i="11"/>
  <c r="AA18"/>
  <c r="W8"/>
  <c r="O16" i="12"/>
  <c r="O17" s="1"/>
  <c r="O17" i="11"/>
  <c r="I17"/>
  <c r="I15" i="13" s="1"/>
  <c r="I11" s="1"/>
  <c r="I17" s="1"/>
  <c r="AU8" i="11"/>
  <c r="AV30" i="8"/>
  <c r="H113" i="2"/>
  <c r="H10" i="14" s="1"/>
  <c r="H115" i="2"/>
  <c r="I113"/>
  <c r="I10" i="14" s="1"/>
  <c r="I115" i="2"/>
  <c r="AP8" i="11"/>
  <c r="AQ30" i="8"/>
  <c r="AJ20" i="12"/>
  <c r="AF17" i="11"/>
  <c r="AR13"/>
  <c r="R18" i="12"/>
  <c r="Q7" i="14"/>
  <c r="Q12"/>
  <c r="U11" i="12"/>
  <c r="AO19" i="11"/>
  <c r="AO15" i="12"/>
  <c r="AO16" s="1"/>
  <c r="AO17" s="1"/>
  <c r="AO18" i="11"/>
  <c r="AT19" l="1"/>
  <c r="AT17" s="1"/>
  <c r="AT15" i="13" s="1"/>
  <c r="AT11" s="1"/>
  <c r="AT17" s="1"/>
  <c r="AT28" s="1"/>
  <c r="AT15" i="12"/>
  <c r="AT16" s="1"/>
  <c r="AT17" s="1"/>
  <c r="X30" i="8"/>
  <c r="AV20" i="12"/>
  <c r="AH28" i="13"/>
  <c r="V19" i="12"/>
  <c r="V22" i="11"/>
  <c r="W22" s="1"/>
  <c r="AA22" s="1"/>
  <c r="AB22" s="1"/>
  <c r="AC22" s="1"/>
  <c r="AD22" s="1"/>
  <c r="AD19"/>
  <c r="AD18"/>
  <c r="AO17"/>
  <c r="AO15" i="13" s="1"/>
  <c r="AO11" s="1"/>
  <c r="AO17" s="1"/>
  <c r="AO39" s="1"/>
  <c r="T18" i="12"/>
  <c r="R12" i="14"/>
  <c r="S12" s="1"/>
  <c r="R7"/>
  <c r="S7" s="1"/>
  <c r="AF15" i="13"/>
  <c r="AP6" i="11"/>
  <c r="AQ8"/>
  <c r="U19" i="12"/>
  <c r="AR15"/>
  <c r="AR19" i="11"/>
  <c r="AR18"/>
  <c r="I28" i="13"/>
  <c r="I39"/>
  <c r="AA17" i="11"/>
  <c r="AM15" i="12"/>
  <c r="AM19" i="11"/>
  <c r="AM18"/>
  <c r="H16" i="12"/>
  <c r="H17" s="1"/>
  <c r="P13" i="11"/>
  <c r="P21" i="12"/>
  <c r="M111" i="2" s="1"/>
  <c r="AC19" i="12"/>
  <c r="AE11"/>
  <c r="AE19" s="1"/>
  <c r="AE21" s="1"/>
  <c r="H112" i="2" s="1"/>
  <c r="AG19" i="11"/>
  <c r="AG15" i="12"/>
  <c r="AG18" i="11"/>
  <c r="AU6"/>
  <c r="AV8"/>
  <c r="O15" i="13"/>
  <c r="W6" i="11"/>
  <c r="X8"/>
  <c r="AA16" i="12"/>
  <c r="AA17" s="1"/>
  <c r="AS19"/>
  <c r="AN19"/>
  <c r="T15"/>
  <c r="T19" i="11"/>
  <c r="T18"/>
  <c r="H17"/>
  <c r="Q17"/>
  <c r="Q15" i="13" s="1"/>
  <c r="Q11" s="1"/>
  <c r="Q17" s="1"/>
  <c r="AI11" i="12"/>
  <c r="AJ6" i="11"/>
  <c r="J13"/>
  <c r="J21" i="12"/>
  <c r="J111" i="2" s="1"/>
  <c r="K11" i="12"/>
  <c r="L6" i="11"/>
  <c r="R19"/>
  <c r="R15" i="12"/>
  <c r="R16" s="1"/>
  <c r="R17" s="1"/>
  <c r="R18" i="11"/>
  <c r="V21" i="12" l="1"/>
  <c r="R111" i="2" s="1"/>
  <c r="V13" i="11"/>
  <c r="AD17"/>
  <c r="AD15" i="13" s="1"/>
  <c r="AD11" s="1"/>
  <c r="AD17" s="1"/>
  <c r="AD39" s="1"/>
  <c r="AT39"/>
  <c r="R17" i="11"/>
  <c r="R15" i="13" s="1"/>
  <c r="R11" s="1"/>
  <c r="R17" s="1"/>
  <c r="R39" s="1"/>
  <c r="AO28"/>
  <c r="J15" i="12"/>
  <c r="J19" i="11"/>
  <c r="J18"/>
  <c r="T16" i="12"/>
  <c r="T17" s="1"/>
  <c r="AN13" i="11"/>
  <c r="AN21" i="12"/>
  <c r="AC111" i="2" s="1"/>
  <c r="AS13" i="11"/>
  <c r="AS21" i="12"/>
  <c r="AG111" i="2" s="1"/>
  <c r="K19" i="12"/>
  <c r="L11"/>
  <c r="L19" s="1"/>
  <c r="L21" s="1"/>
  <c r="E112" i="2" s="1"/>
  <c r="J113"/>
  <c r="J10" i="14" s="1"/>
  <c r="J115" i="2"/>
  <c r="AJ11" i="12"/>
  <c r="AJ19" s="1"/>
  <c r="AJ21" s="1"/>
  <c r="I112" i="2" s="1"/>
  <c r="AI19" i="12"/>
  <c r="Q39" i="13"/>
  <c r="Q28"/>
  <c r="D8" i="9"/>
  <c r="H15" i="13"/>
  <c r="T17" i="11"/>
  <c r="W11" i="12"/>
  <c r="X6" i="11"/>
  <c r="AU11" i="12"/>
  <c r="AV6" i="11"/>
  <c r="AG17"/>
  <c r="AC13"/>
  <c r="AC21" i="12"/>
  <c r="V111" i="2" s="1"/>
  <c r="P15" i="12"/>
  <c r="P19" i="11"/>
  <c r="S19" s="1"/>
  <c r="P18"/>
  <c r="S13"/>
  <c r="AM17"/>
  <c r="AR16" i="12"/>
  <c r="AR17" s="1"/>
  <c r="U21"/>
  <c r="Q111" i="2" s="1"/>
  <c r="U13" i="11"/>
  <c r="AP11" i="12"/>
  <c r="AQ6" i="11"/>
  <c r="AF11" i="13"/>
  <c r="O11"/>
  <c r="AG16" i="12"/>
  <c r="AG17" s="1"/>
  <c r="AM16"/>
  <c r="AM17" s="1"/>
  <c r="AA15" i="13"/>
  <c r="AR17" i="11"/>
  <c r="T12" i="14"/>
  <c r="U18" i="12"/>
  <c r="T7" i="14"/>
  <c r="V18" i="11" l="1"/>
  <c r="V19"/>
  <c r="V15" i="12"/>
  <c r="V16" s="1"/>
  <c r="V17" s="1"/>
  <c r="AD28" i="13"/>
  <c r="R28"/>
  <c r="AR15"/>
  <c r="AP19" i="12"/>
  <c r="AQ11"/>
  <c r="AQ19" s="1"/>
  <c r="AQ21" s="1"/>
  <c r="J112" i="2" s="1"/>
  <c r="P17" i="11"/>
  <c r="S18"/>
  <c r="S15" i="12"/>
  <c r="P16"/>
  <c r="AU19"/>
  <c r="AV11"/>
  <c r="AV19" s="1"/>
  <c r="AV21" s="1"/>
  <c r="W19"/>
  <c r="X11"/>
  <c r="X19" s="1"/>
  <c r="X21" s="1"/>
  <c r="G112" i="2" s="1"/>
  <c r="I114" s="1"/>
  <c r="AL10" i="14" s="1"/>
  <c r="T15" i="13"/>
  <c r="H11"/>
  <c r="AI13" i="11"/>
  <c r="AI21" i="12"/>
  <c r="AA111" i="2" s="1"/>
  <c r="AA11" i="13"/>
  <c r="O17"/>
  <c r="AF17"/>
  <c r="U15" i="12"/>
  <c r="U19" i="11"/>
  <c r="U18"/>
  <c r="AM15" i="13"/>
  <c r="E8" i="9"/>
  <c r="D4"/>
  <c r="D10" s="1"/>
  <c r="F114" i="2"/>
  <c r="S10" i="14" s="1"/>
  <c r="E114" i="2"/>
  <c r="L10" i="14" s="1"/>
  <c r="U7"/>
  <c r="U12"/>
  <c r="V18" i="12"/>
  <c r="AC15"/>
  <c r="AC19" i="11"/>
  <c r="AE19" s="1"/>
  <c r="AC18"/>
  <c r="AE13"/>
  <c r="AG15" i="13"/>
  <c r="K13" i="11"/>
  <c r="K21" i="12"/>
  <c r="K111" i="2" s="1"/>
  <c r="AS15" i="12"/>
  <c r="AS19" i="11"/>
  <c r="AS18"/>
  <c r="AN19"/>
  <c r="AN15" i="12"/>
  <c r="AN18" i="11"/>
  <c r="J17"/>
  <c r="J16" i="12"/>
  <c r="J17" s="1"/>
  <c r="V17" i="11" l="1"/>
  <c r="V15" i="13" s="1"/>
  <c r="V11" s="1"/>
  <c r="V17" s="1"/>
  <c r="V28" s="1"/>
  <c r="S16" i="12"/>
  <c r="S17" s="1"/>
  <c r="P17"/>
  <c r="H114" i="2"/>
  <c r="AE10" i="14" s="1"/>
  <c r="K112" i="2"/>
  <c r="K114" s="1"/>
  <c r="AX10" i="14" s="1"/>
  <c r="J114" i="2"/>
  <c r="AS10" i="14" s="1"/>
  <c r="G114" i="2"/>
  <c r="X10" i="14" s="1"/>
  <c r="AN16" i="12"/>
  <c r="AN17" s="1"/>
  <c r="K19" i="11"/>
  <c r="L19" s="1"/>
  <c r="K15" i="12"/>
  <c r="K18" i="11"/>
  <c r="L13"/>
  <c r="AC17"/>
  <c r="AE18"/>
  <c r="AE15" i="12"/>
  <c r="AC16"/>
  <c r="V7" i="14"/>
  <c r="W18" i="12"/>
  <c r="V12" i="14"/>
  <c r="J15" i="13"/>
  <c r="AN17" i="11"/>
  <c r="AS17"/>
  <c r="AS16" i="12"/>
  <c r="AS17" s="1"/>
  <c r="Q113" i="2"/>
  <c r="U10" i="14" s="1"/>
  <c r="L113" i="2"/>
  <c r="O10" i="14" s="1"/>
  <c r="R113" i="2"/>
  <c r="V10" i="14" s="1"/>
  <c r="K115" i="2"/>
  <c r="M113"/>
  <c r="P10" i="14" s="1"/>
  <c r="K113" i="2"/>
  <c r="K10" i="14" s="1"/>
  <c r="P113" i="2"/>
  <c r="T10" i="14" s="1"/>
  <c r="O113" i="2"/>
  <c r="R10" i="14" s="1"/>
  <c r="N113" i="2"/>
  <c r="Q10" i="14" s="1"/>
  <c r="L115" i="2"/>
  <c r="E10" i="9"/>
  <c r="E4"/>
  <c r="AM11" i="13"/>
  <c r="U17" i="11"/>
  <c r="U16" i="12"/>
  <c r="U17" s="1"/>
  <c r="AA17" i="13"/>
  <c r="T11"/>
  <c r="AP21" i="12"/>
  <c r="AE111" i="2" s="1"/>
  <c r="AP13" i="11"/>
  <c r="AR11" i="13"/>
  <c r="AG11"/>
  <c r="AF39"/>
  <c r="AF28"/>
  <c r="O39"/>
  <c r="O28"/>
  <c r="AI19" i="11"/>
  <c r="AJ19" s="1"/>
  <c r="AI15" i="12"/>
  <c r="AJ13" i="11"/>
  <c r="AI18"/>
  <c r="H17" i="13"/>
  <c r="W21" i="12"/>
  <c r="S111" i="2" s="1"/>
  <c r="W13" i="11"/>
  <c r="AU13"/>
  <c r="AU21" i="12"/>
  <c r="AI111" i="2" s="1"/>
  <c r="P15" i="13"/>
  <c r="S17" i="11"/>
  <c r="V39" i="13" l="1"/>
  <c r="AE16" i="12"/>
  <c r="AE17" s="1"/>
  <c r="AC17"/>
  <c r="AD113" i="2"/>
  <c r="AQ10" i="14" s="1"/>
  <c r="T113" i="2"/>
  <c r="AA10" i="14" s="1"/>
  <c r="AG113" i="2"/>
  <c r="AU10" i="14" s="1"/>
  <c r="AE113" i="2"/>
  <c r="AR10" i="14" s="1"/>
  <c r="Z113" i="2"/>
  <c r="AJ10" i="14" s="1"/>
  <c r="AC113" i="2"/>
  <c r="AP10" i="14" s="1"/>
  <c r="S113" i="2"/>
  <c r="W10" i="14" s="1"/>
  <c r="H42" i="13"/>
  <c r="I42" s="1"/>
  <c r="H39"/>
  <c r="H28"/>
  <c r="AI17" i="11"/>
  <c r="AJ18"/>
  <c r="AJ15" i="12"/>
  <c r="AI16"/>
  <c r="AG17" i="13"/>
  <c r="AP15" i="12"/>
  <c r="AP19" i="11"/>
  <c r="AQ19" s="1"/>
  <c r="AP18"/>
  <c r="AQ13"/>
  <c r="T17" i="13"/>
  <c r="U15"/>
  <c r="AM17"/>
  <c r="P11"/>
  <c r="S15"/>
  <c r="AU19" i="11"/>
  <c r="AV19" s="1"/>
  <c r="AU15" i="12"/>
  <c r="AU18" i="11"/>
  <c r="AV13"/>
  <c r="W15" i="12"/>
  <c r="W19" i="11"/>
  <c r="X19" s="1"/>
  <c r="W18"/>
  <c r="X13"/>
  <c r="AR17" i="13"/>
  <c r="AA28"/>
  <c r="AA39"/>
  <c r="AH113" i="2"/>
  <c r="AV10" i="14" s="1"/>
  <c r="W113" i="2"/>
  <c r="AD10" i="14" s="1"/>
  <c r="U113" i="2"/>
  <c r="AB10" i="14" s="1"/>
  <c r="AI113" i="2"/>
  <c r="AW10" i="14" s="1"/>
  <c r="AB113" i="2"/>
  <c r="AO10" i="14" s="1"/>
  <c r="Y113" i="2"/>
  <c r="AI10" i="14" s="1"/>
  <c r="V113" i="2"/>
  <c r="AC10" i="14" s="1"/>
  <c r="AA113" i="2"/>
  <c r="AK10" i="14" s="1"/>
  <c r="AS15" i="13"/>
  <c r="AC15"/>
  <c r="AE17" i="11"/>
  <c r="K17"/>
  <c r="L18"/>
  <c r="X113" i="2"/>
  <c r="AH10" i="14" s="1"/>
  <c r="AF113" i="2"/>
  <c r="AT10" i="14" s="1"/>
  <c r="AN15" i="13"/>
  <c r="J11"/>
  <c r="AA18" i="12"/>
  <c r="W7" i="14"/>
  <c r="X7" s="1"/>
  <c r="W12"/>
  <c r="X12" s="1"/>
  <c r="L15" i="12"/>
  <c r="K16"/>
  <c r="L16" l="1"/>
  <c r="L17" s="1"/>
  <c r="K17"/>
  <c r="AJ16"/>
  <c r="AJ17" s="1"/>
  <c r="AI17"/>
  <c r="AA12" i="14"/>
  <c r="AB18" i="12"/>
  <c r="AA7" i="14"/>
  <c r="J17" i="13"/>
  <c r="J42" s="1"/>
  <c r="AN11"/>
  <c r="K15"/>
  <c r="L17" i="11"/>
  <c r="AC11" i="13"/>
  <c r="AE15"/>
  <c r="AS11"/>
  <c r="AR39"/>
  <c r="AR28"/>
  <c r="AV15" i="12"/>
  <c r="AU16"/>
  <c r="AM28" i="13"/>
  <c r="AM39"/>
  <c r="T39"/>
  <c r="T28"/>
  <c r="H43"/>
  <c r="I43" s="1"/>
  <c r="H40"/>
  <c r="I40" s="1"/>
  <c r="W17" i="11"/>
  <c r="X18"/>
  <c r="X15" i="12"/>
  <c r="W16"/>
  <c r="AU17" i="11"/>
  <c r="AV18"/>
  <c r="P17" i="13"/>
  <c r="S11"/>
  <c r="U11"/>
  <c r="AP17" i="11"/>
  <c r="AQ18"/>
  <c r="AQ15" i="12"/>
  <c r="AP16"/>
  <c r="AG39" i="13"/>
  <c r="AG28"/>
  <c r="AI15"/>
  <c r="AJ17" i="11"/>
  <c r="AV16" i="12" l="1"/>
  <c r="AV17" s="1"/>
  <c r="AU17"/>
  <c r="AQ16"/>
  <c r="AQ17" s="1"/>
  <c r="AP17"/>
  <c r="X16"/>
  <c r="X17" s="1"/>
  <c r="W17"/>
  <c r="AP15" i="13"/>
  <c r="AQ17" i="11"/>
  <c r="U17" i="13"/>
  <c r="P28"/>
  <c r="S28" s="1"/>
  <c r="P39"/>
  <c r="S39" s="1"/>
  <c r="S17"/>
  <c r="AU15"/>
  <c r="AV17" i="11"/>
  <c r="W15" i="13"/>
  <c r="X17" i="11"/>
  <c r="AI11" i="13"/>
  <c r="AJ15"/>
  <c r="AS17"/>
  <c r="AC17"/>
  <c r="AE11"/>
  <c r="K11"/>
  <c r="L15"/>
  <c r="AN17"/>
  <c r="J39"/>
  <c r="J28"/>
  <c r="AC18" i="12"/>
  <c r="AB12" i="14"/>
  <c r="AB7"/>
  <c r="AD18" i="12" l="1"/>
  <c r="AC12" i="14"/>
  <c r="AC7"/>
  <c r="J43" i="13"/>
  <c r="AI17"/>
  <c r="AJ11"/>
  <c r="U39"/>
  <c r="U28"/>
  <c r="AP11"/>
  <c r="AQ15"/>
  <c r="AN39"/>
  <c r="AN28"/>
  <c r="K17"/>
  <c r="L11"/>
  <c r="AC28"/>
  <c r="AE28" s="1"/>
  <c r="AC39"/>
  <c r="AE39" s="1"/>
  <c r="AE17"/>
  <c r="AS28"/>
  <c r="AS39"/>
  <c r="J40"/>
  <c r="W11"/>
  <c r="X15"/>
  <c r="AU11"/>
  <c r="AV15"/>
  <c r="W17" l="1"/>
  <c r="X11"/>
  <c r="AI39"/>
  <c r="AJ39" s="1"/>
  <c r="AI28"/>
  <c r="AJ28" s="1"/>
  <c r="AJ17"/>
  <c r="AU17"/>
  <c r="AV11"/>
  <c r="K39"/>
  <c r="L39" s="1"/>
  <c r="K28"/>
  <c r="L28" s="1"/>
  <c r="K42"/>
  <c r="O42" s="1"/>
  <c r="P42" s="1"/>
  <c r="Q42" s="1"/>
  <c r="R42" s="1"/>
  <c r="T42" s="1"/>
  <c r="U42" s="1"/>
  <c r="V42" s="1"/>
  <c r="L17"/>
  <c r="AP17"/>
  <c r="AQ11"/>
  <c r="AD12" i="14"/>
  <c r="AE12" s="1"/>
  <c r="AF18" i="12"/>
  <c r="AH12" i="14" s="1"/>
  <c r="AD7"/>
  <c r="AE7" s="1"/>
  <c r="AG18" i="12" l="1"/>
  <c r="AI12" i="14" s="1"/>
  <c r="AH9"/>
  <c r="AH7"/>
  <c r="K43" i="13"/>
  <c r="O43" s="1"/>
  <c r="P43" s="1"/>
  <c r="Q43" s="1"/>
  <c r="R43" s="1"/>
  <c r="T43" s="1"/>
  <c r="U43" s="1"/>
  <c r="V43" s="1"/>
  <c r="W43" s="1"/>
  <c r="AA43" s="1"/>
  <c r="AB43" s="1"/>
  <c r="AC43" s="1"/>
  <c r="AD43" s="1"/>
  <c r="AF43" s="1"/>
  <c r="AG43" s="1"/>
  <c r="AH43" s="1"/>
  <c r="AI43" s="1"/>
  <c r="AM43" s="1"/>
  <c r="AN43" s="1"/>
  <c r="AO43" s="1"/>
  <c r="AP43" s="1"/>
  <c r="AR43" s="1"/>
  <c r="AS43" s="1"/>
  <c r="AT43" s="1"/>
  <c r="AU43" s="1"/>
  <c r="W42"/>
  <c r="AA42" s="1"/>
  <c r="AB42" s="1"/>
  <c r="AC42" s="1"/>
  <c r="AD42" s="1"/>
  <c r="AF42" s="1"/>
  <c r="AG42" s="1"/>
  <c r="AH42" s="1"/>
  <c r="AI42" s="1"/>
  <c r="AM42" s="1"/>
  <c r="AN42" s="1"/>
  <c r="AO42" s="1"/>
  <c r="AP42" s="1"/>
  <c r="AR42" s="1"/>
  <c r="AS42" s="1"/>
  <c r="AT42" s="1"/>
  <c r="AU42" s="1"/>
  <c r="AP28"/>
  <c r="AQ28" s="1"/>
  <c r="AP39"/>
  <c r="AQ39" s="1"/>
  <c r="AQ17"/>
  <c r="K40"/>
  <c r="L40" s="1"/>
  <c r="O40" s="1"/>
  <c r="P40" s="1"/>
  <c r="Q40" s="1"/>
  <c r="R40" s="1"/>
  <c r="S40" s="1"/>
  <c r="T40" s="1"/>
  <c r="U40" s="1"/>
  <c r="V40" s="1"/>
  <c r="AU28"/>
  <c r="AV28" s="1"/>
  <c r="AU39"/>
  <c r="AV39" s="1"/>
  <c r="AV17"/>
  <c r="W28"/>
  <c r="X28" s="1"/>
  <c r="W39"/>
  <c r="X39" s="1"/>
  <c r="X17"/>
  <c r="AH18" i="12" l="1"/>
  <c r="AJ12" i="14" s="1"/>
  <c r="AI7"/>
  <c r="AI9"/>
  <c r="W40" i="13"/>
  <c r="X40" s="1"/>
  <c r="AA40" s="1"/>
  <c r="AB40" s="1"/>
  <c r="AC40" s="1"/>
  <c r="AD40" s="1"/>
  <c r="AE40" s="1"/>
  <c r="AF40" s="1"/>
  <c r="AG40" s="1"/>
  <c r="AH40" s="1"/>
  <c r="AI40" s="1"/>
  <c r="AJ40" s="1"/>
  <c r="AM40" s="1"/>
  <c r="AN40" s="1"/>
  <c r="AO40" s="1"/>
  <c r="AP40" s="1"/>
  <c r="AQ40" s="1"/>
  <c r="AR40" s="1"/>
  <c r="AS40" s="1"/>
  <c r="AT40" s="1"/>
  <c r="AU40" s="1"/>
  <c r="AV40" s="1"/>
  <c r="D6" i="14"/>
  <c r="D9" s="1"/>
  <c r="H6"/>
  <c r="H9" s="1"/>
  <c r="I6"/>
  <c r="I9" s="1"/>
  <c r="U6"/>
  <c r="C6"/>
  <c r="D17" i="3" s="1"/>
  <c r="E6" i="14"/>
  <c r="E9" s="1"/>
  <c r="F6"/>
  <c r="F9" s="1"/>
  <c r="J6"/>
  <c r="J9" s="1"/>
  <c r="K6"/>
  <c r="L6" s="1"/>
  <c r="O6"/>
  <c r="O9" s="1"/>
  <c r="P6"/>
  <c r="P9" s="1"/>
  <c r="Q6"/>
  <c r="Q9" s="1"/>
  <c r="R6"/>
  <c r="R9" s="1"/>
  <c r="S9" s="1"/>
  <c r="V6"/>
  <c r="V9" s="1"/>
  <c r="W6"/>
  <c r="X6" s="1"/>
  <c r="AA6"/>
  <c r="AA9" s="1"/>
  <c r="AB6"/>
  <c r="AB9" s="1"/>
  <c r="AC6"/>
  <c r="AC9" s="1"/>
  <c r="T6"/>
  <c r="T9" s="1"/>
  <c r="AD6"/>
  <c r="AE6" s="1"/>
  <c r="E17" i="3" l="1"/>
  <c r="F17" s="1"/>
  <c r="E8" i="14" s="1"/>
  <c r="E11" s="1"/>
  <c r="AI18" i="12"/>
  <c r="AK12" i="14" s="1"/>
  <c r="AL12" s="1"/>
  <c r="AJ7"/>
  <c r="AJ9"/>
  <c r="AD9"/>
  <c r="AE9" s="1"/>
  <c r="K9"/>
  <c r="L9" s="1"/>
  <c r="C8"/>
  <c r="C11" s="1"/>
  <c r="S6"/>
  <c r="U9"/>
  <c r="C9"/>
  <c r="G6"/>
  <c r="G9" s="1"/>
  <c r="W9"/>
  <c r="X9" s="1"/>
  <c r="G17" i="3" l="1"/>
  <c r="I17" s="1"/>
  <c r="J17" s="1"/>
  <c r="I8" i="14" s="1"/>
  <c r="I11" s="1"/>
  <c r="D8"/>
  <c r="D11" s="1"/>
  <c r="AM18" i="12"/>
  <c r="AK9" i="14"/>
  <c r="AL9" s="1"/>
  <c r="AK7"/>
  <c r="AL7" s="1"/>
  <c r="AN18" i="12" l="1"/>
  <c r="AO7" i="14"/>
  <c r="AO12"/>
  <c r="AO9"/>
  <c r="K17" i="3"/>
  <c r="L17" s="1"/>
  <c r="F8" i="14"/>
  <c r="H8"/>
  <c r="H11" s="1"/>
  <c r="AO18" i="12" l="1"/>
  <c r="AP12" i="14"/>
  <c r="AP7"/>
  <c r="AP9"/>
  <c r="J8"/>
  <c r="J11" s="1"/>
  <c r="F11"/>
  <c r="G8"/>
  <c r="G11" s="1"/>
  <c r="P17" i="3"/>
  <c r="K8" i="14"/>
  <c r="AP18" i="12" l="1"/>
  <c r="AQ12" i="14"/>
  <c r="AQ7"/>
  <c r="AQ9"/>
  <c r="O8"/>
  <c r="O11" s="1"/>
  <c r="Q17" i="3"/>
  <c r="L8" i="14"/>
  <c r="L11" s="1"/>
  <c r="K11"/>
  <c r="AR18" i="12" l="1"/>
  <c r="AR7" i="14"/>
  <c r="AS7" s="1"/>
  <c r="AR12"/>
  <c r="AS12" s="1"/>
  <c r="AR9"/>
  <c r="AS9" s="1"/>
  <c r="R17" i="3"/>
  <c r="P8" i="14"/>
  <c r="P11" s="1"/>
  <c r="AS18" i="12" l="1"/>
  <c r="AT7" i="14"/>
  <c r="AT12"/>
  <c r="AT9"/>
  <c r="S17" i="3"/>
  <c r="Q8" i="14"/>
  <c r="Q11" s="1"/>
  <c r="AT18" i="12" l="1"/>
  <c r="AU7" i="14"/>
  <c r="AU12"/>
  <c r="AU9"/>
  <c r="U17" i="3"/>
  <c r="R8" i="14"/>
  <c r="AU18" i="12" l="1"/>
  <c r="AV9" i="14"/>
  <c r="AV7"/>
  <c r="AV12"/>
  <c r="S8"/>
  <c r="S11" s="1"/>
  <c r="R11"/>
  <c r="V17" i="3"/>
  <c r="T8" i="14"/>
  <c r="T11" s="1"/>
  <c r="AW12" l="1"/>
  <c r="AX12" s="1"/>
  <c r="AW9"/>
  <c r="AX9" s="1"/>
  <c r="AW7"/>
  <c r="AX7" s="1"/>
  <c r="W17" i="3"/>
  <c r="U8" i="14"/>
  <c r="U11" s="1"/>
  <c r="X17" i="3" l="1"/>
  <c r="V8" i="14"/>
  <c r="V11" s="1"/>
  <c r="AB17" i="3" l="1"/>
  <c r="W8" i="14"/>
  <c r="AC17" i="3" l="1"/>
  <c r="AG17" s="1"/>
  <c r="AA8" i="14"/>
  <c r="AA11" s="1"/>
  <c r="W11"/>
  <c r="X8"/>
  <c r="X11" s="1"/>
  <c r="AH17" i="3" l="1"/>
  <c r="AH8" i="14"/>
  <c r="AH11" s="1"/>
  <c r="AD17" i="3"/>
  <c r="AB8" i="14"/>
  <c r="AB11" s="1"/>
  <c r="AI17" i="3" l="1"/>
  <c r="AI8" i="14"/>
  <c r="AI11" s="1"/>
  <c r="AC8"/>
  <c r="AC11" s="1"/>
  <c r="AE17" i="3"/>
  <c r="AD8" i="14" s="1"/>
  <c r="AJ17" i="3" l="1"/>
  <c r="AJ8" i="14"/>
  <c r="AJ11" s="1"/>
  <c r="AD11"/>
  <c r="AE8"/>
  <c r="AE11" s="1"/>
  <c r="AN17" i="3" l="1"/>
  <c r="AK8" i="14"/>
  <c r="AO17" i="3" l="1"/>
  <c r="AP8" i="14" s="1"/>
  <c r="AP11" s="1"/>
  <c r="AO8"/>
  <c r="AO11" s="1"/>
  <c r="AL8"/>
  <c r="AL11" s="1"/>
  <c r="AK11"/>
  <c r="AP17" i="3" l="1"/>
  <c r="AS17"/>
  <c r="AT17" l="1"/>
  <c r="AT8" i="14"/>
  <c r="AT11" s="1"/>
  <c r="AQ17" i="3"/>
  <c r="AR8" i="14" s="1"/>
  <c r="AQ8"/>
  <c r="AQ11" s="1"/>
  <c r="AU17" i="3" l="1"/>
  <c r="AU8" i="14"/>
  <c r="AU11" s="1"/>
  <c r="AS8"/>
  <c r="AS11" s="1"/>
  <c r="AR11"/>
  <c r="AV17" i="3" l="1"/>
  <c r="AV8" i="14"/>
  <c r="AV11" s="1"/>
  <c r="AZ17" i="3" l="1"/>
  <c r="BA17" s="1"/>
  <c r="AW8" i="14"/>
  <c r="BE17" i="3" l="1"/>
  <c r="BF17" s="1"/>
  <c r="BG17" s="1"/>
  <c r="BH17" s="1"/>
  <c r="BB17"/>
  <c r="BC17" s="1"/>
  <c r="AX8" i="14"/>
  <c r="AX11" s="1"/>
  <c r="AW11"/>
</calcChain>
</file>

<file path=xl/sharedStrings.xml><?xml version="1.0" encoding="utf-8"?>
<sst xmlns="http://schemas.openxmlformats.org/spreadsheetml/2006/main" count="1198" uniqueCount="338">
  <si>
    <t>Исходные данные</t>
  </si>
  <si>
    <t>Ставка дисконтирования</t>
  </si>
  <si>
    <t>Персонал</t>
  </si>
  <si>
    <t>Среднемесячная заработная плата, тыс. руб.  /  человек</t>
  </si>
  <si>
    <t>Основной производственный персонал</t>
  </si>
  <si>
    <t>Вспомогательный персонал (рабочие, служащие и ИТР)</t>
  </si>
  <si>
    <t>Административно-управленческий персонал</t>
  </si>
  <si>
    <t>Расчет страховых платежей</t>
  </si>
  <si>
    <t>Страховые взносы в ПФ РФ, ФСС РФ, ФФОМС, ТФОМС</t>
  </si>
  <si>
    <t>Страховые взносы за несчастные случаи на производстве</t>
  </si>
  <si>
    <t>ИТОГО</t>
  </si>
  <si>
    <t>Расходы на землю</t>
  </si>
  <si>
    <t>Итого в год, тыс. руб.</t>
  </si>
  <si>
    <t>Итого в квартал, тыс. руб.</t>
  </si>
  <si>
    <t>Расчет амортизации</t>
  </si>
  <si>
    <t>Срок (лет)</t>
  </si>
  <si>
    <t>%</t>
  </si>
  <si>
    <t>здания и сооружения</t>
  </si>
  <si>
    <t>машины и обрудование</t>
  </si>
  <si>
    <t>транспортные средства</t>
  </si>
  <si>
    <t>прочие основные средства</t>
  </si>
  <si>
    <t>нематериальные активы</t>
  </si>
  <si>
    <t>Год начала реализации проекта</t>
  </si>
  <si>
    <t>АУП</t>
  </si>
  <si>
    <t>основной</t>
  </si>
  <si>
    <t>Вспомогательный персонал</t>
  </si>
  <si>
    <t>ИТР</t>
  </si>
  <si>
    <t>ср. з/п</t>
  </si>
  <si>
    <t>общее кол-во рабочих мест</t>
  </si>
  <si>
    <t>Продукция (услуга)</t>
  </si>
  <si>
    <t>Ед. изм.</t>
  </si>
  <si>
    <t>Цена (т.р.)</t>
  </si>
  <si>
    <t>месяц, руб.</t>
  </si>
  <si>
    <t>ед.</t>
  </si>
  <si>
    <t>Продукция (услуга, работа)</t>
  </si>
  <si>
    <t>НАЛОГИ</t>
  </si>
  <si>
    <t>ставка</t>
  </si>
  <si>
    <t>доля края</t>
  </si>
  <si>
    <t>доля МО</t>
  </si>
  <si>
    <t>на имущество</t>
  </si>
  <si>
    <t xml:space="preserve">на прибыль </t>
  </si>
  <si>
    <t>на землю</t>
  </si>
  <si>
    <t>транспортный</t>
  </si>
  <si>
    <t>Плата за негативное воздействие на окружающую среду</t>
  </si>
  <si>
    <t>страховые взносы в ПФ РФ, ФСС РФ, ФФОМС, ТФОМС</t>
  </si>
  <si>
    <t>НДФЛ</t>
  </si>
  <si>
    <t>Платежи по аренде земли</t>
  </si>
  <si>
    <t>IRR</t>
  </si>
  <si>
    <t>ARR</t>
  </si>
  <si>
    <t>Таблица 1 (тыс. руб.)</t>
  </si>
  <si>
    <t>Продолжение таблицы 1</t>
  </si>
  <si>
    <t>Окончание таблицы 1</t>
  </si>
  <si>
    <t>Прогноз инвестиций по проекту</t>
  </si>
  <si>
    <t>№ п/п</t>
  </si>
  <si>
    <t>Структура инвестиций</t>
  </si>
  <si>
    <t>Общий объем</t>
  </si>
  <si>
    <t>в том числе:</t>
  </si>
  <si>
    <t>Подлежит  выполнению</t>
  </si>
  <si>
    <t>1 кв.</t>
  </si>
  <si>
    <t>2 кв.</t>
  </si>
  <si>
    <t>3 кв.</t>
  </si>
  <si>
    <t>4 кв.</t>
  </si>
  <si>
    <t>Всего</t>
  </si>
  <si>
    <t>1.</t>
  </si>
  <si>
    <t>Капитальные вложения, в т.ч.:</t>
  </si>
  <si>
    <t>строительно-монтажные работы</t>
  </si>
  <si>
    <t>оборудование</t>
  </si>
  <si>
    <t>прочее</t>
  </si>
  <si>
    <t>2.</t>
  </si>
  <si>
    <t>Затраты на приобретение оборотных средств</t>
  </si>
  <si>
    <t>3.</t>
  </si>
  <si>
    <t>Другие инвестиции</t>
  </si>
  <si>
    <t>4.</t>
  </si>
  <si>
    <t>Общие инвестиции по проекту</t>
  </si>
  <si>
    <t>5.</t>
  </si>
  <si>
    <t>НДС на СМР, оборудование, оборотные средства</t>
  </si>
  <si>
    <t>Здания и сооружения</t>
  </si>
  <si>
    <t>СМР</t>
  </si>
  <si>
    <t>Оборудование</t>
  </si>
  <si>
    <t>Прочие</t>
  </si>
  <si>
    <t>Таблица 2 (тыс. руб.)</t>
  </si>
  <si>
    <t>Продолжение таблицы 2</t>
  </si>
  <si>
    <t>Источники финансирования по проекту</t>
  </si>
  <si>
    <t>(тыс.руб.)</t>
  </si>
  <si>
    <t>Наименование источников</t>
  </si>
  <si>
    <t>Собственные средства, в т.ч.:</t>
  </si>
  <si>
    <t>1.1.</t>
  </si>
  <si>
    <t>взнос в уставный капитал</t>
  </si>
  <si>
    <t>1.2.</t>
  </si>
  <si>
    <t>выручка от реализации активов</t>
  </si>
  <si>
    <t>1.3.</t>
  </si>
  <si>
    <t>амортизационные отчисления</t>
  </si>
  <si>
    <t>1.4.</t>
  </si>
  <si>
    <t>Привлеченные средства, в т.ч.:</t>
  </si>
  <si>
    <t>2.1.</t>
  </si>
  <si>
    <t>кредитные средства</t>
  </si>
  <si>
    <t>2.2.</t>
  </si>
  <si>
    <t>заемные средства</t>
  </si>
  <si>
    <t>2.3.</t>
  </si>
  <si>
    <t>Итого</t>
  </si>
  <si>
    <t>Таблица 3 (тыс. руб.)</t>
  </si>
  <si>
    <t>Продолжение таблицы 3</t>
  </si>
  <si>
    <t>Программа производства и реализации продукции (услуг, работ)</t>
  </si>
  <si>
    <t>(тыс. руб.)</t>
  </si>
  <si>
    <t>Наименование показателей</t>
  </si>
  <si>
    <t>Единица измерения</t>
  </si>
  <si>
    <t>Объем производства</t>
  </si>
  <si>
    <t>Цена реализации</t>
  </si>
  <si>
    <t>тыс. руб.</t>
  </si>
  <si>
    <t>Выручка от реализации, в т.ч.:</t>
  </si>
  <si>
    <t xml:space="preserve">   НДС</t>
  </si>
  <si>
    <t>3.1.</t>
  </si>
  <si>
    <t>3.2.</t>
  </si>
  <si>
    <t>3.3.</t>
  </si>
  <si>
    <t>4.1.</t>
  </si>
  <si>
    <t>ед</t>
  </si>
  <si>
    <t>4.2.</t>
  </si>
  <si>
    <t>4.3.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</si>
  <si>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</si>
  <si>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</si>
  <si>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</si>
  <si>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</si>
  <si>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</si>
  <si>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</si>
  <si>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</si>
  <si>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</si>
  <si>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</si>
  <si>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8.1.</t>
  </si>
  <si>
    <t>8.2.</t>
  </si>
  <si>
    <t>8.3.</t>
  </si>
  <si>
    <t>9.1.</t>
  </si>
  <si>
    <t>9.2.</t>
  </si>
  <si>
    <t>9.3.</t>
  </si>
  <si>
    <t>10.1.</t>
  </si>
  <si>
    <t>10.2.</t>
  </si>
  <si>
    <t>10.3.</t>
  </si>
  <si>
    <t>Общая выручка от реализации всех видов продукции, в т.ч.:</t>
  </si>
  <si>
    <t>Чистая выручка</t>
  </si>
  <si>
    <t>Таблица 4 (тыс. руб.)</t>
  </si>
  <si>
    <t>Продолжение таблицы 4 (тыс. руб.)</t>
  </si>
  <si>
    <t>Продолжение таблицы 4</t>
  </si>
  <si>
    <t>Численность работающих, расходы на оплату труда</t>
  </si>
  <si>
    <t>Численность работающих по проекту, всего:</t>
  </si>
  <si>
    <t>основной производственный персонал</t>
  </si>
  <si>
    <t>вспомогательный персонал (рабочие, служащие и ИТР)</t>
  </si>
  <si>
    <t>административно-управленческий персонал</t>
  </si>
  <si>
    <t>Расходы на оплату труда, в т.ч.:</t>
  </si>
  <si>
    <t xml:space="preserve">   заработная плата </t>
  </si>
  <si>
    <t xml:space="preserve">   страховые взносы в ПФ РФ, ФСС РФ, ФФОМС, ТФОМС</t>
  </si>
  <si>
    <t>Расходы на оплату труда основного производственного персонала, в т.ч.:</t>
  </si>
  <si>
    <t>Расходы на оплату труда вспомогательного персонала (рабочих, служащих и ИТР), в т.ч.:</t>
  </si>
  <si>
    <t>Расходы на оплату труда административно-управленческого персонала, в т.ч.:</t>
  </si>
  <si>
    <t>Расчет НДФЛ</t>
  </si>
  <si>
    <t>Таблица 5</t>
  </si>
  <si>
    <t>Расчет стоимости материальных затрат на единицу продукции</t>
  </si>
  <si>
    <t>(руб.)</t>
  </si>
  <si>
    <t>Вид затрат</t>
  </si>
  <si>
    <t>Цена за единицу, руб.</t>
  </si>
  <si>
    <t>Норма расхода</t>
  </si>
  <si>
    <t>Затраты на единицу продукции, руб.</t>
  </si>
  <si>
    <t>прочие</t>
  </si>
  <si>
    <t>Сырье и материалы:</t>
  </si>
  <si>
    <t>Электроэнергия</t>
  </si>
  <si>
    <t>кВт</t>
  </si>
  <si>
    <t>Газ</t>
  </si>
  <si>
    <t>куб. м</t>
  </si>
  <si>
    <t>Вода</t>
  </si>
  <si>
    <t>1.5.</t>
  </si>
  <si>
    <t>Прочие затраты</t>
  </si>
  <si>
    <t>наименование 4</t>
  </si>
  <si>
    <t>наименование 5</t>
  </si>
  <si>
    <t>наименование 6</t>
  </si>
  <si>
    <t>наименование 7</t>
  </si>
  <si>
    <t>2.4.</t>
  </si>
  <si>
    <t>2.5.</t>
  </si>
  <si>
    <t>3.4.</t>
  </si>
  <si>
    <t>3.5.</t>
  </si>
  <si>
    <t>наименование 3</t>
  </si>
  <si>
    <t>4.4.</t>
  </si>
  <si>
    <t>4.5.</t>
  </si>
  <si>
    <t>5.4.</t>
  </si>
  <si>
    <t>5.5.</t>
  </si>
  <si>
    <t>6.</t>
  </si>
  <si>
    <t>наименование 1</t>
  </si>
  <si>
    <t>наименование 2</t>
  </si>
  <si>
    <t>6.4.</t>
  </si>
  <si>
    <t>6.5.</t>
  </si>
  <si>
    <t>7.</t>
  </si>
  <si>
    <t>7.4.</t>
  </si>
  <si>
    <t>7.5.</t>
  </si>
  <si>
    <t>8.</t>
  </si>
  <si>
    <t>8.4.</t>
  </si>
  <si>
    <t>8.5.</t>
  </si>
  <si>
    <t>9.</t>
  </si>
  <si>
    <t>9.4.</t>
  </si>
  <si>
    <t>9.5.</t>
  </si>
  <si>
    <t>10.</t>
  </si>
  <si>
    <t>10.4.</t>
  </si>
  <si>
    <t>10.5.</t>
  </si>
  <si>
    <t>Таблица 6 (тыс. руб.)</t>
  </si>
  <si>
    <t>Таблица 6</t>
  </si>
  <si>
    <t>Продолжение таблицы 6</t>
  </si>
  <si>
    <t>Структура затрат</t>
  </si>
  <si>
    <t>Затраты на производство и сбыт продукции</t>
  </si>
  <si>
    <t>Показатели</t>
  </si>
  <si>
    <t>Переменные затраты, в т.ч.:</t>
  </si>
  <si>
    <t>1.6.</t>
  </si>
  <si>
    <t>1.7.</t>
  </si>
  <si>
    <t>1.8.</t>
  </si>
  <si>
    <t>1.9.</t>
  </si>
  <si>
    <t>1.10.</t>
  </si>
  <si>
    <t>Постоянные затраты, в т.ч.:</t>
  </si>
  <si>
    <t>общепроизводственные расходы</t>
  </si>
  <si>
    <t xml:space="preserve">   затраты на топливо</t>
  </si>
  <si>
    <t xml:space="preserve">   расходы на ИТР</t>
  </si>
  <si>
    <t xml:space="preserve">   амортизационные отчисления</t>
  </si>
  <si>
    <t xml:space="preserve">   прочее</t>
  </si>
  <si>
    <t>общехозяйственные расходы</t>
  </si>
  <si>
    <t xml:space="preserve">   расходы на АУП</t>
  </si>
  <si>
    <t xml:space="preserve">   аренда земли</t>
  </si>
  <si>
    <t>коммерческие расходы</t>
  </si>
  <si>
    <t xml:space="preserve">   реклама</t>
  </si>
  <si>
    <t>Общие затраты</t>
  </si>
  <si>
    <r>
      <rPr>
        <b/>
        <sz val="9"/>
        <color indexed="8"/>
        <rFont val="Times New Roman"/>
        <family val="1"/>
        <charset val="204"/>
      </rPr>
      <t xml:space="preserve">НДС </t>
    </r>
    <r>
      <rPr>
        <sz val="9"/>
        <color indexed="8"/>
        <rFont val="Times New Roman"/>
        <family val="1"/>
        <charset val="204"/>
      </rPr>
      <t>(уплаченный)</t>
    </r>
  </si>
  <si>
    <t>2.1 прочее</t>
  </si>
  <si>
    <t>2.2 прочее</t>
  </si>
  <si>
    <t>реклама</t>
  </si>
  <si>
    <t>2.3. прочее</t>
  </si>
  <si>
    <t>Коммерческие расходы</t>
  </si>
  <si>
    <t>Сумма, тыс. руб.</t>
  </si>
  <si>
    <t>месяц</t>
  </si>
  <si>
    <t>Денежные средства, направленные на затраты, в том числе:</t>
  </si>
  <si>
    <t>оплата приобретения товаров, услуг, сырья и иных оборотных активов</t>
  </si>
  <si>
    <t>оплата труда</t>
  </si>
  <si>
    <t>на выплату дивидендов, процентов</t>
  </si>
  <si>
    <t>расчеты по налогам и сборам</t>
  </si>
  <si>
    <t>прочие расходы</t>
  </si>
  <si>
    <t>Оборотные средства</t>
  </si>
  <si>
    <t>Таблица 7 (тыс. руб.)</t>
  </si>
  <si>
    <t>Таблица 7</t>
  </si>
  <si>
    <t>Продолжение таблицы 7</t>
  </si>
  <si>
    <t>Амортизационные отчисления</t>
  </si>
  <si>
    <t>Норма амортизации, %</t>
  </si>
  <si>
    <t>Основные фонды и нематериальные активы, в т.ч.:</t>
  </si>
  <si>
    <t>Начисленная амортизация по проекту</t>
  </si>
  <si>
    <t>Остаточная стоимость основных фондов и нематериальных активов по проекту (п. 1 - п. 2)</t>
  </si>
  <si>
    <t>Расчет налога на имущество</t>
  </si>
  <si>
    <t>Таблица 8 (тыс. руб.)</t>
  </si>
  <si>
    <t>Продолжение таблицы 8 (тыс руб.)</t>
  </si>
  <si>
    <t>Продолжение таблицы 8</t>
  </si>
  <si>
    <t>Расчет налогов и сборов</t>
  </si>
  <si>
    <t>НДС</t>
  </si>
  <si>
    <t xml:space="preserve">   от реализации продукции</t>
  </si>
  <si>
    <t xml:space="preserve">   уплаченный из затрат</t>
  </si>
  <si>
    <t xml:space="preserve">   возмещаемый из бюджета</t>
  </si>
  <si>
    <t>Налог на имущество</t>
  </si>
  <si>
    <t>Арендная плата за землю</t>
  </si>
  <si>
    <t>Налог на прибыль</t>
  </si>
  <si>
    <t>Транспортный налог</t>
  </si>
  <si>
    <t>Прочие налоги и сборы</t>
  </si>
  <si>
    <t>Все сумма налогов и сборов, в т.ч.:</t>
  </si>
  <si>
    <t xml:space="preserve">   федеральные</t>
  </si>
  <si>
    <t xml:space="preserve">   региональные</t>
  </si>
  <si>
    <t xml:space="preserve">   местные</t>
  </si>
  <si>
    <t>коэффициент</t>
  </si>
  <si>
    <t>Таблица 9 (тыс. руб.)</t>
  </si>
  <si>
    <t>Продолжение таблицы 9 (тыс. руб.)</t>
  </si>
  <si>
    <t>Продолжение таблицы 9</t>
  </si>
  <si>
    <t>Расчет прибыльности проекта</t>
  </si>
  <si>
    <t>Валовая выручка</t>
  </si>
  <si>
    <t>Себестоимость</t>
  </si>
  <si>
    <t>Валовая прибыль</t>
  </si>
  <si>
    <t>Управленческие расходы</t>
  </si>
  <si>
    <t>Сумма налогов, пеней и штрафов</t>
  </si>
  <si>
    <t>Уплаченные проценты по кредитам</t>
  </si>
  <si>
    <t>Прочие расходы (расшифровать)</t>
  </si>
  <si>
    <t>Прочие доходы (расшифровать)</t>
  </si>
  <si>
    <t>Текущий налог на прибыль</t>
  </si>
  <si>
    <t>11.</t>
  </si>
  <si>
    <t>Чистая прибыль</t>
  </si>
  <si>
    <t>12.</t>
  </si>
  <si>
    <t>Рентабельность деятельности</t>
  </si>
  <si>
    <t>прибыль</t>
  </si>
  <si>
    <t>Таблица 9</t>
  </si>
  <si>
    <t>Движение денежных средств</t>
  </si>
  <si>
    <t>Движение денежных средств по текущей деятельности</t>
  </si>
  <si>
    <t xml:space="preserve">Денежные средства, полученные:     </t>
  </si>
  <si>
    <t xml:space="preserve">   от покупателей</t>
  </si>
  <si>
    <t xml:space="preserve">   НДС к возмещению</t>
  </si>
  <si>
    <t xml:space="preserve">   прочие доходы </t>
  </si>
  <si>
    <t>Денежные средства, направленные:</t>
  </si>
  <si>
    <t xml:space="preserve">   на оплату приобретенных товаров, работ, услуг, сырья и иных оборотных активов</t>
  </si>
  <si>
    <t xml:space="preserve">   на оплату труда</t>
  </si>
  <si>
    <t xml:space="preserve">   на выплату процентов</t>
  </si>
  <si>
    <t xml:space="preserve">   на расчеты по налогам и сборам</t>
  </si>
  <si>
    <t xml:space="preserve">   прочие расходы</t>
  </si>
  <si>
    <t>Чистые денежные средства от текущей деятельности (п.1-п.2)</t>
  </si>
  <si>
    <t>Движение денежных средств по инвестиционной деятельности</t>
  </si>
  <si>
    <t xml:space="preserve">   собственные средства инвестора </t>
  </si>
  <si>
    <t xml:space="preserve">   привлеченные средства</t>
  </si>
  <si>
    <t xml:space="preserve">   прочие поступления</t>
  </si>
  <si>
    <t xml:space="preserve">   на инвестиционные затраты капитального характера</t>
  </si>
  <si>
    <t xml:space="preserve">   другие инвестиции</t>
  </si>
  <si>
    <t>Чистые денежные средства от инвестиционной деятельности (п.4-п.5)</t>
  </si>
  <si>
    <t>Поток от инвестиционной и текущей деятельности</t>
  </si>
  <si>
    <t>Движение денежных средств по финансовой деятельности</t>
  </si>
  <si>
    <t xml:space="preserve">   из собственных средств</t>
  </si>
  <si>
    <t xml:space="preserve">   от займов, предоставленных другими организациями</t>
  </si>
  <si>
    <t xml:space="preserve">   от кредитов, предоставленных коммерческими банками</t>
  </si>
  <si>
    <t xml:space="preserve">   на погашение кредитов (без процентов)                 </t>
  </si>
  <si>
    <t xml:space="preserve">   на погашение займов (без процентов)                 </t>
  </si>
  <si>
    <t xml:space="preserve">   на прочие выплаты</t>
  </si>
  <si>
    <t>Чистые денежные средства от финансовой деятельности (п.7-п.8)</t>
  </si>
  <si>
    <t>Чистое увеличение (уменьшение) денежных средств и их эквивалентов (п.3+п.6+п.9)</t>
  </si>
  <si>
    <t>Чистое увеличение (уменьшение) денежных средств и их эквивалентов нарастающим итогом</t>
  </si>
  <si>
    <t>денежный поток</t>
  </si>
  <si>
    <t>Таблица 11 (тыс. руб.)</t>
  </si>
  <si>
    <t>Продолжение таблицы 11</t>
  </si>
  <si>
    <t>Экономическая эффективность реализации инвестиционного проекта</t>
  </si>
  <si>
    <t>Коэффициент дисконтирования</t>
  </si>
  <si>
    <t>Срок окупаемости</t>
  </si>
  <si>
    <t>Чистый приведенный доход (NPV)</t>
  </si>
  <si>
    <t>Индекс прибыльности (PI)</t>
  </si>
  <si>
    <t>Внутренняя норма доходности (IRR)</t>
  </si>
  <si>
    <t>Доходность инвестиций (ROI)</t>
  </si>
  <si>
    <t>Средняя норма рентабельности (ARR)</t>
  </si>
  <si>
    <t>Обобщенная точка безубыточности для всех видов продукции</t>
  </si>
  <si>
    <t>Объем продаж, соответствующий точке безубыточности, %</t>
  </si>
  <si>
    <t>продажа 1м3 ПСБ-С-15 Л</t>
  </si>
  <si>
    <t xml:space="preserve">продажа 1м3 ПСБ-С-15 </t>
  </si>
  <si>
    <t>продажа 1м3 ПСБ-С-25</t>
  </si>
  <si>
    <t>продажа 1м3 ПСБ-С-25 Ф</t>
  </si>
  <si>
    <t>продажа 1м3 ПСБ-С-35</t>
  </si>
  <si>
    <t>продажа 1м3 ПСБ-С-50</t>
  </si>
  <si>
    <t>='Исходные данные'!F85</t>
  </si>
  <si>
    <t>='Исходные данные'!A86</t>
  </si>
  <si>
    <t>Продолжениеттаблицы 11</t>
  </si>
  <si>
    <t>дисконтированный денежный поток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</si>
</sst>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0.000"/>
    <numFmt numFmtId="167" formatCode="#,##0.0"/>
    <numFmt numFmtId="168" formatCode="#,##0&quot;  &quot;"/>
  </numFmts>
  <fonts count="20">
    <font>
      <sz val="10"/>
      <color indexed="8"/>
      <name val="Arial Cy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 Cyr"/>
    </font>
    <font>
      <sz val="11"/>
      <color indexed="8"/>
      <name val="Arial Cy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Arial Cy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Helvetica"/>
    </font>
    <font>
      <sz val="9"/>
      <color indexed="8"/>
      <name val="Arial Cyr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/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/>
      <right style="thin">
        <color indexed="13"/>
      </right>
      <top/>
      <bottom/>
      <diagonal/>
    </border>
    <border>
      <left style="thin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3"/>
      </left>
      <right/>
      <top style="thin">
        <color indexed="13"/>
      </top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3"/>
      </top>
      <bottom/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3"/>
      </left>
      <right/>
      <top style="thin">
        <color indexed="8"/>
      </top>
      <bottom/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38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49" fontId="1" fillId="2" borderId="3" xfId="0" applyNumberFormat="1" applyFont="1" applyFill="1" applyBorder="1" applyAlignment="1">
      <alignment horizontal="center" vertical="center"/>
    </xf>
    <xf numFmtId="164" fontId="0" fillId="3" borderId="4" xfId="0" applyNumberFormat="1" applyFont="1" applyFill="1" applyBorder="1" applyAlignment="1"/>
    <xf numFmtId="0" fontId="1" fillId="2" borderId="5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6" xfId="0" applyFont="1" applyFill="1" applyBorder="1" applyAlignment="1"/>
    <xf numFmtId="0" fontId="3" fillId="2" borderId="11" xfId="0" applyFont="1" applyFill="1" applyBorder="1" applyAlignment="1"/>
    <xf numFmtId="49" fontId="1" fillId="2" borderId="12" xfId="0" applyNumberFormat="1" applyFont="1" applyFill="1" applyBorder="1" applyAlignment="1">
      <alignment wrapText="1"/>
    </xf>
    <xf numFmtId="165" fontId="3" fillId="2" borderId="12" xfId="0" applyNumberFormat="1" applyFont="1" applyFill="1" applyBorder="1" applyAlignment="1"/>
    <xf numFmtId="0" fontId="3" fillId="2" borderId="12" xfId="0" applyNumberFormat="1" applyFont="1" applyFill="1" applyBorder="1" applyAlignment="1"/>
    <xf numFmtId="0" fontId="0" fillId="2" borderId="11" xfId="0" applyFont="1" applyFill="1" applyBorder="1" applyAlignment="1"/>
    <xf numFmtId="164" fontId="3" fillId="2" borderId="12" xfId="0" applyNumberFormat="1" applyFont="1" applyFill="1" applyBorder="1" applyAlignment="1"/>
    <xf numFmtId="164" fontId="3" fillId="3" borderId="12" xfId="0" applyNumberFormat="1" applyFont="1" applyFill="1" applyBorder="1" applyAlignment="1"/>
    <xf numFmtId="0" fontId="0" fillId="2" borderId="13" xfId="0" applyFont="1" applyFill="1" applyBorder="1" applyAlignment="1"/>
    <xf numFmtId="165" fontId="3" fillId="4" borderId="12" xfId="0" applyNumberFormat="1" applyFont="1" applyFill="1" applyBorder="1" applyAlignment="1"/>
    <xf numFmtId="0" fontId="3" fillId="2" borderId="12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 vertical="center"/>
    </xf>
    <xf numFmtId="16" fontId="0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0" fillId="2" borderId="7" xfId="0" applyFont="1" applyFill="1" applyBorder="1" applyAlignment="1"/>
    <xf numFmtId="49" fontId="5" fillId="4" borderId="12" xfId="0" applyNumberFormat="1" applyFont="1" applyFill="1" applyBorder="1" applyAlignment="1">
      <alignment wrapText="1"/>
    </xf>
    <xf numFmtId="0" fontId="5" fillId="4" borderId="12" xfId="0" applyNumberFormat="1" applyFont="1" applyFill="1" applyBorder="1" applyAlignment="1">
      <alignment horizontal="center" wrapText="1"/>
    </xf>
    <xf numFmtId="3" fontId="5" fillId="4" borderId="12" xfId="0" applyNumberFormat="1" applyFont="1" applyFill="1" applyBorder="1" applyAlignment="1">
      <alignment horizontal="center" wrapText="1"/>
    </xf>
    <xf numFmtId="0" fontId="5" fillId="4" borderId="12" xfId="0" applyFont="1" applyFill="1" applyBorder="1" applyAlignment="1">
      <alignment wrapText="1"/>
    </xf>
    <xf numFmtId="0" fontId="5" fillId="4" borderId="12" xfId="0" applyFont="1" applyFill="1" applyBorder="1" applyAlignment="1">
      <alignment horizontal="center" wrapText="1"/>
    </xf>
    <xf numFmtId="0" fontId="4" fillId="2" borderId="13" xfId="0" applyFont="1" applyFill="1" applyBorder="1" applyAlignment="1"/>
    <xf numFmtId="0" fontId="0" fillId="2" borderId="13" xfId="0" applyNumberFormat="1" applyFont="1" applyFill="1" applyBorder="1" applyAlignment="1"/>
    <xf numFmtId="3" fontId="0" fillId="2" borderId="13" xfId="0" applyNumberFormat="1" applyFont="1" applyFill="1" applyBorder="1" applyAlignment="1"/>
    <xf numFmtId="0" fontId="4" fillId="2" borderId="7" xfId="0" applyFont="1" applyFill="1" applyBorder="1" applyAlignment="1"/>
    <xf numFmtId="0" fontId="0" fillId="2" borderId="7" xfId="0" applyNumberFormat="1" applyFont="1" applyFill="1" applyBorder="1" applyAlignment="1"/>
    <xf numFmtId="0" fontId="0" fillId="2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wrapText="1"/>
    </xf>
    <xf numFmtId="2" fontId="0" fillId="2" borderId="1" xfId="0" applyNumberFormat="1" applyFont="1" applyFill="1" applyBorder="1" applyAlignment="1"/>
    <xf numFmtId="2" fontId="0" fillId="2" borderId="7" xfId="0" applyNumberFormat="1" applyFont="1" applyFill="1" applyBorder="1" applyAlignment="1"/>
    <xf numFmtId="0" fontId="3" fillId="2" borderId="12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center" wrapText="1"/>
    </xf>
    <xf numFmtId="2" fontId="0" fillId="2" borderId="13" xfId="0" applyNumberFormat="1" applyFont="1" applyFill="1" applyBorder="1" applyAlignment="1"/>
    <xf numFmtId="49" fontId="3" fillId="2" borderId="12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7" fillId="2" borderId="10" xfId="0" applyFont="1" applyFill="1" applyBorder="1" applyAlignment="1"/>
    <xf numFmtId="2" fontId="3" fillId="4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left"/>
    </xf>
    <xf numFmtId="166" fontId="3" fillId="4" borderId="12" xfId="0" applyNumberFormat="1" applyFont="1" applyFill="1" applyBorder="1" applyAlignment="1">
      <alignment horizontal="center"/>
    </xf>
    <xf numFmtId="166" fontId="3" fillId="2" borderId="12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/>
    <xf numFmtId="49" fontId="2" fillId="2" borderId="12" xfId="0" applyNumberFormat="1" applyFont="1" applyFill="1" applyBorder="1" applyAlignment="1">
      <alignment wrapText="1"/>
    </xf>
    <xf numFmtId="164" fontId="0" fillId="3" borderId="15" xfId="0" applyNumberFormat="1" applyFont="1" applyFill="1" applyBorder="1" applyAlignment="1"/>
    <xf numFmtId="9" fontId="0" fillId="3" borderId="4" xfId="0" applyNumberFormat="1" applyFont="1" applyFill="1" applyBorder="1" applyAlignment="1"/>
    <xf numFmtId="0" fontId="0" fillId="3" borderId="4" xfId="0" applyFont="1" applyFill="1" applyBorder="1" applyAlignment="1"/>
    <xf numFmtId="0" fontId="0" fillId="2" borderId="5" xfId="0" applyFont="1" applyFill="1" applyBorder="1" applyAlignment="1"/>
    <xf numFmtId="0" fontId="0" fillId="3" borderId="15" xfId="0" applyFont="1" applyFill="1" applyBorder="1" applyAlignment="1"/>
    <xf numFmtId="0" fontId="0" fillId="2" borderId="6" xfId="0" applyFont="1" applyFill="1" applyBorder="1" applyAlignment="1"/>
    <xf numFmtId="49" fontId="0" fillId="2" borderId="1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1" fillId="2" borderId="7" xfId="0" applyFont="1" applyFill="1" applyBorder="1" applyAlignment="1"/>
    <xf numFmtId="0" fontId="1" fillId="0" borderId="7" xfId="0" applyFont="1" applyBorder="1" applyAlignment="1"/>
    <xf numFmtId="49" fontId="1" fillId="0" borderId="12" xfId="0" applyNumberFormat="1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left" vertical="top" wrapText="1"/>
    </xf>
    <xf numFmtId="167" fontId="2" fillId="2" borderId="12" xfId="0" applyNumberFormat="1" applyFont="1" applyFill="1" applyBorder="1" applyAlignment="1"/>
    <xf numFmtId="167" fontId="2" fillId="0" borderId="12" xfId="0" applyNumberFormat="1" applyFont="1" applyBorder="1" applyAlignment="1"/>
    <xf numFmtId="167" fontId="1" fillId="2" borderId="12" xfId="0" applyNumberFormat="1" applyFont="1" applyFill="1" applyBorder="1" applyAlignment="1"/>
    <xf numFmtId="0" fontId="2" fillId="2" borderId="12" xfId="0" applyFont="1" applyFill="1" applyBorder="1" applyAlignment="1">
      <alignment vertical="center" wrapText="1"/>
    </xf>
    <xf numFmtId="167" fontId="2" fillId="5" borderId="12" xfId="0" applyNumberFormat="1" applyFont="1" applyFill="1" applyBorder="1" applyAlignment="1"/>
    <xf numFmtId="49" fontId="2" fillId="2" borderId="12" xfId="0" applyNumberFormat="1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center" wrapText="1"/>
    </xf>
    <xf numFmtId="49" fontId="2" fillId="2" borderId="16" xfId="0" applyNumberFormat="1" applyFont="1" applyFill="1" applyBorder="1" applyAlignment="1">
      <alignment vertical="top" wrapText="1"/>
    </xf>
    <xf numFmtId="49" fontId="1" fillId="2" borderId="16" xfId="0" applyNumberFormat="1" applyFont="1" applyFill="1" applyBorder="1" applyAlignment="1">
      <alignment wrapText="1"/>
    </xf>
    <xf numFmtId="49" fontId="2" fillId="2" borderId="16" xfId="0" applyNumberFormat="1" applyFont="1" applyFill="1" applyBorder="1" applyAlignment="1">
      <alignment wrapText="1"/>
    </xf>
    <xf numFmtId="0" fontId="0" fillId="2" borderId="18" xfId="0" applyFont="1" applyFill="1" applyBorder="1" applyAlignment="1"/>
    <xf numFmtId="0" fontId="0" fillId="0" borderId="13" xfId="0" applyFont="1" applyBorder="1" applyAlignment="1"/>
    <xf numFmtId="167" fontId="0" fillId="0" borderId="13" xfId="0" applyNumberFormat="1" applyFont="1" applyBorder="1" applyAlignment="1"/>
    <xf numFmtId="167" fontId="0" fillId="2" borderId="13" xfId="0" applyNumberFormat="1" applyFont="1" applyFill="1" applyBorder="1" applyAlignment="1"/>
    <xf numFmtId="167" fontId="0" fillId="0" borderId="1" xfId="0" applyNumberFormat="1" applyFont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165" fontId="0" fillId="0" borderId="1" xfId="0" applyNumberFormat="1" applyFont="1" applyBorder="1" applyAlignment="1"/>
    <xf numFmtId="49" fontId="0" fillId="2" borderId="3" xfId="0" applyNumberFormat="1" applyFont="1" applyFill="1" applyBorder="1" applyAlignment="1"/>
    <xf numFmtId="167" fontId="0" fillId="4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/>
    <xf numFmtId="165" fontId="0" fillId="2" borderId="1" xfId="0" applyNumberFormat="1" applyFont="1" applyFill="1" applyBorder="1" applyAlignment="1"/>
    <xf numFmtId="167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167" fontId="3" fillId="4" borderId="4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/>
    <xf numFmtId="165" fontId="8" fillId="2" borderId="1" xfId="0" applyNumberFormat="1" applyFont="1" applyFill="1" applyBorder="1" applyAlignment="1"/>
    <xf numFmtId="0" fontId="0" fillId="0" borderId="0" xfId="0" applyNumberFormat="1" applyFont="1" applyAlignment="1"/>
    <xf numFmtId="0" fontId="0" fillId="0" borderId="11" xfId="0" applyFont="1" applyBorder="1" applyAlignment="1"/>
    <xf numFmtId="49" fontId="1" fillId="2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vertical="top" wrapText="1"/>
    </xf>
    <xf numFmtId="49" fontId="1" fillId="2" borderId="12" xfId="0" applyNumberFormat="1" applyFont="1" applyFill="1" applyBorder="1" applyAlignment="1">
      <alignment vertical="center" wrapText="1"/>
    </xf>
    <xf numFmtId="167" fontId="9" fillId="0" borderId="12" xfId="0" applyNumberFormat="1" applyFont="1" applyBorder="1" applyAlignment="1"/>
    <xf numFmtId="167" fontId="10" fillId="0" borderId="12" xfId="0" applyNumberFormat="1" applyFont="1" applyBorder="1" applyAlignment="1"/>
    <xf numFmtId="167" fontId="1" fillId="0" borderId="12" xfId="0" applyNumberFormat="1" applyFont="1" applyBorder="1" applyAlignment="1"/>
    <xf numFmtId="49" fontId="2" fillId="2" borderId="12" xfId="0" applyNumberFormat="1" applyFont="1" applyFill="1" applyBorder="1" applyAlignment="1">
      <alignment vertical="center" wrapText="1"/>
    </xf>
    <xf numFmtId="0" fontId="0" fillId="0" borderId="19" xfId="0" applyFont="1" applyBorder="1" applyAlignment="1"/>
    <xf numFmtId="0" fontId="0" fillId="0" borderId="2" xfId="0" applyFont="1" applyBorder="1" applyAlignment="1"/>
    <xf numFmtId="49" fontId="2" fillId="6" borderId="12" xfId="0" applyNumberFormat="1" applyFont="1" applyFill="1" applyBorder="1" applyAlignment="1">
      <alignment vertical="top" wrapText="1"/>
    </xf>
    <xf numFmtId="49" fontId="2" fillId="6" borderId="12" xfId="0" applyNumberFormat="1" applyFont="1" applyFill="1" applyBorder="1" applyAlignment="1">
      <alignment vertical="center" wrapText="1"/>
    </xf>
    <xf numFmtId="0" fontId="0" fillId="0" borderId="15" xfId="0" applyFont="1" applyBorder="1" applyAlignment="1"/>
    <xf numFmtId="0" fontId="0" fillId="0" borderId="4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6" xfId="0" applyFont="1" applyBorder="1" applyAlignment="1"/>
    <xf numFmtId="0" fontId="0" fillId="0" borderId="0" xfId="0" applyNumberFormat="1" applyFont="1" applyAlignment="1"/>
    <xf numFmtId="49" fontId="11" fillId="2" borderId="12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left" vertical="center"/>
    </xf>
    <xf numFmtId="49" fontId="11" fillId="2" borderId="12" xfId="0" applyNumberFormat="1" applyFont="1" applyFill="1" applyBorder="1" applyAlignment="1">
      <alignment wrapText="1"/>
    </xf>
    <xf numFmtId="165" fontId="12" fillId="2" borderId="12" xfId="0" applyNumberFormat="1" applyFont="1" applyFill="1" applyBorder="1" applyAlignment="1">
      <alignment horizontal="center" vertical="center" wrapText="1"/>
    </xf>
    <xf numFmtId="167" fontId="12" fillId="2" borderId="12" xfId="0" applyNumberFormat="1" applyFont="1" applyFill="1" applyBorder="1" applyAlignment="1"/>
    <xf numFmtId="0" fontId="11" fillId="2" borderId="12" xfId="0" applyNumberFormat="1" applyFont="1" applyFill="1" applyBorder="1" applyAlignment="1">
      <alignment horizontal="left" vertical="top"/>
    </xf>
    <xf numFmtId="0" fontId="12" fillId="2" borderId="12" xfId="0" applyNumberFormat="1" applyFont="1" applyFill="1" applyBorder="1" applyAlignment="1">
      <alignment horizontal="left" vertical="top"/>
    </xf>
    <xf numFmtId="167" fontId="12" fillId="5" borderId="12" xfId="0" applyNumberFormat="1" applyFont="1" applyFill="1" applyBorder="1" applyAlignment="1"/>
    <xf numFmtId="49" fontId="12" fillId="2" borderId="12" xfId="0" applyNumberFormat="1" applyFont="1" applyFill="1" applyBorder="1" applyAlignment="1">
      <alignment vertical="top" wrapText="1"/>
    </xf>
    <xf numFmtId="49" fontId="12" fillId="2" borderId="12" xfId="0" applyNumberFormat="1" applyFont="1" applyFill="1" applyBorder="1" applyAlignment="1">
      <alignment wrapText="1"/>
    </xf>
    <xf numFmtId="49" fontId="12" fillId="2" borderId="12" xfId="0" applyNumberFormat="1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/>
    <xf numFmtId="49" fontId="12" fillId="2" borderId="12" xfId="0" applyNumberFormat="1" applyFont="1" applyFill="1" applyBorder="1" applyAlignment="1">
      <alignment horizontal="left" vertical="top" wrapText="1"/>
    </xf>
    <xf numFmtId="167" fontId="11" fillId="2" borderId="12" xfId="0" applyNumberFormat="1" applyFont="1" applyFill="1" applyBorder="1" applyAlignment="1"/>
    <xf numFmtId="167" fontId="11" fillId="5" borderId="12" xfId="0" applyNumberFormat="1" applyFont="1" applyFill="1" applyBorder="1" applyAlignment="1"/>
    <xf numFmtId="0" fontId="12" fillId="2" borderId="12" xfId="0" applyFont="1" applyFill="1" applyBorder="1" applyAlignment="1">
      <alignment horizontal="left" vertical="top" wrapText="1"/>
    </xf>
    <xf numFmtId="0" fontId="12" fillId="2" borderId="12" xfId="0" applyNumberFormat="1" applyFont="1" applyFill="1" applyBorder="1" applyAlignment="1">
      <alignment horizontal="left" vertical="center"/>
    </xf>
    <xf numFmtId="0" fontId="12" fillId="2" borderId="12" xfId="0" applyNumberFormat="1" applyFont="1" applyFill="1" applyBorder="1" applyAlignment="1"/>
    <xf numFmtId="167" fontId="0" fillId="2" borderId="1" xfId="0" applyNumberFormat="1" applyFont="1" applyFill="1" applyBorder="1" applyAlignment="1"/>
    <xf numFmtId="0" fontId="0" fillId="0" borderId="0" xfId="0" applyNumberFormat="1" applyFont="1" applyAlignment="1"/>
    <xf numFmtId="168" fontId="2" fillId="0" borderId="12" xfId="0" applyNumberFormat="1" applyFont="1" applyBorder="1" applyAlignment="1"/>
    <xf numFmtId="168" fontId="2" fillId="2" borderId="12" xfId="0" applyNumberFormat="1" applyFont="1" applyFill="1" applyBorder="1" applyAlignment="1"/>
    <xf numFmtId="49" fontId="1" fillId="2" borderId="16" xfId="0" applyNumberFormat="1" applyFont="1" applyFill="1" applyBorder="1" applyAlignment="1">
      <alignment horizontal="left" vertical="top" wrapText="1"/>
    </xf>
    <xf numFmtId="49" fontId="1" fillId="2" borderId="12" xfId="0" applyNumberFormat="1" applyFont="1" applyFill="1" applyBorder="1" applyAlignment="1"/>
    <xf numFmtId="0" fontId="0" fillId="0" borderId="0" xfId="0" applyNumberFormat="1" applyFont="1" applyAlignment="1"/>
    <xf numFmtId="9" fontId="0" fillId="0" borderId="1" xfId="0" applyNumberFormat="1" applyFont="1" applyBorder="1" applyAlignment="1"/>
    <xf numFmtId="0" fontId="1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13" fillId="2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wrapText="1"/>
    </xf>
    <xf numFmtId="2" fontId="2" fillId="2" borderId="12" xfId="0" applyNumberFormat="1" applyFont="1" applyFill="1" applyBorder="1" applyAlignment="1">
      <alignment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2" fontId="0" fillId="2" borderId="22" xfId="0" applyNumberFormat="1" applyFont="1" applyFill="1" applyBorder="1" applyAlignment="1"/>
    <xf numFmtId="2" fontId="2" fillId="5" borderId="4" xfId="0" applyNumberFormat="1" applyFont="1" applyFill="1" applyBorder="1" applyAlignment="1">
      <alignment wrapText="1"/>
    </xf>
    <xf numFmtId="9" fontId="0" fillId="2" borderId="11" xfId="0" applyNumberFormat="1" applyFont="1" applyFill="1" applyBorder="1" applyAlignment="1"/>
    <xf numFmtId="165" fontId="2" fillId="4" borderId="12" xfId="0" applyNumberFormat="1" applyFont="1" applyFill="1" applyBorder="1" applyAlignment="1">
      <alignment wrapText="1"/>
    </xf>
    <xf numFmtId="2" fontId="0" fillId="2" borderId="11" xfId="0" applyNumberFormat="1" applyFont="1" applyFill="1" applyBorder="1" applyAlignment="1"/>
    <xf numFmtId="49" fontId="13" fillId="2" borderId="12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/>
    <xf numFmtId="0" fontId="0" fillId="0" borderId="0" xfId="0" applyNumberFormat="1" applyFont="1" applyAlignment="1"/>
    <xf numFmtId="0" fontId="11" fillId="2" borderId="12" xfId="0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 vertical="top" wrapText="1"/>
    </xf>
    <xf numFmtId="165" fontId="12" fillId="2" borderId="12" xfId="0" applyNumberFormat="1" applyFont="1" applyFill="1" applyBorder="1" applyAlignment="1">
      <alignment wrapText="1"/>
    </xf>
    <xf numFmtId="167" fontId="12" fillId="2" borderId="12" xfId="0" applyNumberFormat="1" applyFont="1" applyFill="1" applyBorder="1" applyAlignment="1">
      <alignment wrapText="1"/>
    </xf>
    <xf numFmtId="14" fontId="12" fillId="2" borderId="12" xfId="0" applyNumberFormat="1" applyFont="1" applyFill="1" applyBorder="1" applyAlignment="1">
      <alignment horizontal="left" vertical="top" wrapText="1"/>
    </xf>
    <xf numFmtId="49" fontId="11" fillId="2" borderId="12" xfId="0" applyNumberFormat="1" applyFont="1" applyFill="1" applyBorder="1" applyAlignment="1">
      <alignment horizontal="left" vertical="top" wrapText="1"/>
    </xf>
    <xf numFmtId="49" fontId="14" fillId="2" borderId="12" xfId="0" applyNumberFormat="1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wrapText="1"/>
    </xf>
    <xf numFmtId="0" fontId="0" fillId="0" borderId="0" xfId="0" applyNumberFormat="1" applyFont="1" applyAlignment="1"/>
    <xf numFmtId="0" fontId="0" fillId="0" borderId="23" xfId="0" applyFont="1" applyBorder="1" applyAlignment="1"/>
    <xf numFmtId="49" fontId="0" fillId="2" borderId="12" xfId="0" applyNumberFormat="1" applyFont="1" applyFill="1" applyBorder="1" applyAlignment="1"/>
    <xf numFmtId="167" fontId="2" fillId="2" borderId="12" xfId="0" applyNumberFormat="1" applyFont="1" applyFill="1" applyBorder="1" applyAlignment="1">
      <alignment wrapText="1"/>
    </xf>
    <xf numFmtId="0" fontId="0" fillId="0" borderId="0" xfId="0" applyNumberFormat="1" applyFont="1" applyAlignment="1"/>
    <xf numFmtId="165" fontId="11" fillId="2" borderId="12" xfId="0" applyNumberFormat="1" applyFont="1" applyFill="1" applyBorder="1" applyAlignment="1"/>
    <xf numFmtId="164" fontId="12" fillId="2" borderId="12" xfId="0" applyNumberFormat="1" applyFont="1" applyFill="1" applyBorder="1" applyAlignment="1"/>
    <xf numFmtId="165" fontId="0" fillId="2" borderId="13" xfId="0" applyNumberFormat="1" applyFont="1" applyFill="1" applyBorder="1" applyAlignment="1"/>
    <xf numFmtId="165" fontId="0" fillId="2" borderId="24" xfId="0" applyNumberFormat="1" applyFont="1" applyFill="1" applyBorder="1" applyAlignment="1"/>
    <xf numFmtId="165" fontId="12" fillId="5" borderId="25" xfId="0" applyNumberFormat="1" applyFont="1" applyFill="1" applyBorder="1" applyAlignment="1"/>
    <xf numFmtId="165" fontId="0" fillId="2" borderId="18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23" xfId="0" applyFont="1" applyFill="1" applyBorder="1" applyAlignment="1"/>
    <xf numFmtId="0" fontId="0" fillId="2" borderId="12" xfId="0" applyFont="1" applyFill="1" applyBorder="1" applyAlignment="1"/>
    <xf numFmtId="17" fontId="0" fillId="2" borderId="12" xfId="0" applyNumberFormat="1" applyFont="1" applyFill="1" applyBorder="1" applyAlignment="1"/>
    <xf numFmtId="165" fontId="0" fillId="2" borderId="12" xfId="0" applyNumberFormat="1" applyFont="1" applyFill="1" applyBorder="1" applyAlignment="1"/>
    <xf numFmtId="0" fontId="0" fillId="0" borderId="0" xfId="0" applyNumberFormat="1" applyFont="1" applyAlignment="1"/>
    <xf numFmtId="49" fontId="12" fillId="2" borderId="12" xfId="0" applyNumberFormat="1" applyFont="1" applyFill="1" applyBorder="1" applyAlignment="1"/>
    <xf numFmtId="49" fontId="12" fillId="2" borderId="16" xfId="0" applyNumberFormat="1" applyFont="1" applyFill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12" fillId="2" borderId="12" xfId="0" applyFont="1" applyFill="1" applyBorder="1" applyAlignment="1">
      <alignment vertical="top" wrapText="1"/>
    </xf>
    <xf numFmtId="0" fontId="12" fillId="2" borderId="13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0" fillId="0" borderId="0" xfId="0" applyNumberFormat="1" applyFont="1" applyAlignment="1"/>
    <xf numFmtId="49" fontId="9" fillId="2" borderId="12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67" fontId="10" fillId="2" borderId="12" xfId="0" applyNumberFormat="1" applyFont="1" applyFill="1" applyBorder="1" applyAlignment="1"/>
    <xf numFmtId="49" fontId="9" fillId="2" borderId="12" xfId="0" applyNumberFormat="1" applyFont="1" applyFill="1" applyBorder="1" applyAlignment="1">
      <alignment vertical="top" wrapText="1"/>
    </xf>
    <xf numFmtId="49" fontId="9" fillId="2" borderId="12" xfId="0" applyNumberFormat="1" applyFont="1" applyFill="1" applyBorder="1" applyAlignment="1">
      <alignment wrapText="1"/>
    </xf>
    <xf numFmtId="167" fontId="9" fillId="2" borderId="12" xfId="0" applyNumberFormat="1" applyFont="1" applyFill="1" applyBorder="1" applyAlignment="1"/>
    <xf numFmtId="0" fontId="10" fillId="2" borderId="12" xfId="0" applyFont="1" applyFill="1" applyBorder="1" applyAlignment="1">
      <alignment vertical="top" wrapText="1"/>
    </xf>
    <xf numFmtId="49" fontId="10" fillId="2" borderId="12" xfId="0" applyNumberFormat="1" applyFont="1" applyFill="1" applyBorder="1" applyAlignment="1">
      <alignment wrapText="1"/>
    </xf>
    <xf numFmtId="0" fontId="10" fillId="2" borderId="12" xfId="0" applyFont="1" applyFill="1" applyBorder="1" applyAlignment="1">
      <alignment horizontal="left" vertical="top" wrapText="1"/>
    </xf>
    <xf numFmtId="49" fontId="9" fillId="2" borderId="12" xfId="0" applyNumberFormat="1" applyFont="1" applyFill="1" applyBorder="1" applyAlignment="1">
      <alignment horizontal="left" vertical="top" wrapText="1"/>
    </xf>
    <xf numFmtId="165" fontId="10" fillId="2" borderId="12" xfId="0" applyNumberFormat="1" applyFont="1" applyFill="1" applyBorder="1" applyAlignment="1">
      <alignment horizontal="right" wrapText="1"/>
    </xf>
    <xf numFmtId="49" fontId="9" fillId="2" borderId="12" xfId="0" applyNumberFormat="1" applyFont="1" applyFill="1" applyBorder="1" applyAlignment="1"/>
    <xf numFmtId="49" fontId="0" fillId="2" borderId="12" xfId="0" applyNumberFormat="1" applyFont="1" applyFill="1" applyBorder="1" applyAlignment="1">
      <alignment wrapText="1"/>
    </xf>
    <xf numFmtId="167" fontId="0" fillId="2" borderId="12" xfId="0" applyNumberFormat="1" applyFont="1" applyFill="1" applyBorder="1" applyAlignment="1"/>
    <xf numFmtId="0" fontId="0" fillId="2" borderId="12" xfId="0" applyFont="1" applyFill="1" applyBorder="1" applyAlignment="1">
      <alignment vertical="top" wrapText="1"/>
    </xf>
    <xf numFmtId="49" fontId="0" fillId="2" borderId="12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wrapText="1"/>
    </xf>
    <xf numFmtId="0" fontId="0" fillId="0" borderId="0" xfId="0" applyNumberFormat="1" applyFont="1" applyAlignment="1"/>
    <xf numFmtId="49" fontId="10" fillId="2" borderId="12" xfId="0" applyNumberFormat="1" applyFont="1" applyFill="1" applyBorder="1" applyAlignment="1">
      <alignment horizontal="left" vertical="top" wrapText="1"/>
    </xf>
    <xf numFmtId="166" fontId="10" fillId="2" borderId="12" xfId="0" applyNumberFormat="1" applyFont="1" applyFill="1" applyBorder="1" applyAlignment="1"/>
    <xf numFmtId="49" fontId="10" fillId="2" borderId="12" xfId="0" applyNumberFormat="1" applyFont="1" applyFill="1" applyBorder="1" applyAlignment="1">
      <alignment vertical="top" wrapText="1"/>
    </xf>
    <xf numFmtId="165" fontId="10" fillId="2" borderId="12" xfId="0" applyNumberFormat="1" applyFont="1" applyFill="1" applyBorder="1" applyAlignment="1"/>
    <xf numFmtId="164" fontId="10" fillId="2" borderId="12" xfId="0" applyNumberFormat="1" applyFont="1" applyFill="1" applyBorder="1" applyAlignment="1"/>
    <xf numFmtId="49" fontId="10" fillId="2" borderId="16" xfId="0" applyNumberFormat="1" applyFont="1" applyFill="1" applyBorder="1" applyAlignment="1">
      <alignment horizontal="left" vertical="top" wrapText="1"/>
    </xf>
    <xf numFmtId="165" fontId="12" fillId="0" borderId="12" xfId="0" applyNumberFormat="1" applyFont="1" applyFill="1" applyBorder="1" applyAlignment="1"/>
    <xf numFmtId="167" fontId="12" fillId="0" borderId="12" xfId="0" applyNumberFormat="1" applyFont="1" applyFill="1" applyBorder="1" applyAlignment="1"/>
    <xf numFmtId="167" fontId="12" fillId="7" borderId="12" xfId="0" applyNumberFormat="1" applyFont="1" applyFill="1" applyBorder="1" applyAlignment="1"/>
    <xf numFmtId="0" fontId="17" fillId="2" borderId="12" xfId="0" applyNumberFormat="1" applyFont="1" applyFill="1" applyBorder="1" applyAlignment="1">
      <alignment horizontal="left" vertical="center"/>
    </xf>
    <xf numFmtId="49" fontId="11" fillId="8" borderId="12" xfId="0" applyNumberFormat="1" applyFont="1" applyFill="1" applyBorder="1" applyAlignment="1">
      <alignment wrapText="1"/>
    </xf>
    <xf numFmtId="165" fontId="12" fillId="8" borderId="12" xfId="0" applyNumberFormat="1" applyFont="1" applyFill="1" applyBorder="1" applyAlignment="1">
      <alignment horizontal="center" vertical="center" wrapText="1"/>
    </xf>
    <xf numFmtId="167" fontId="12" fillId="8" borderId="12" xfId="0" applyNumberFormat="1" applyFont="1" applyFill="1" applyBorder="1" applyAlignment="1"/>
    <xf numFmtId="49" fontId="12" fillId="8" borderId="12" xfId="0" applyNumberFormat="1" applyFont="1" applyFill="1" applyBorder="1" applyAlignment="1">
      <alignment wrapText="1"/>
    </xf>
    <xf numFmtId="49" fontId="12" fillId="8" borderId="12" xfId="0" applyNumberFormat="1" applyFont="1" applyFill="1" applyBorder="1" applyAlignment="1">
      <alignment horizontal="center" vertical="center" wrapText="1"/>
    </xf>
    <xf numFmtId="165" fontId="12" fillId="8" borderId="12" xfId="0" applyNumberFormat="1" applyFont="1" applyFill="1" applyBorder="1" applyAlignment="1"/>
    <xf numFmtId="167" fontId="11" fillId="8" borderId="12" xfId="0" applyNumberFormat="1" applyFont="1" applyFill="1" applyBorder="1" applyAlignment="1"/>
    <xf numFmtId="49" fontId="18" fillId="8" borderId="1" xfId="0" applyNumberFormat="1" applyFont="1" applyFill="1" applyBorder="1" applyAlignment="1">
      <alignment wrapText="1"/>
    </xf>
    <xf numFmtId="164" fontId="19" fillId="8" borderId="1" xfId="0" applyNumberFormat="1" applyFont="1" applyFill="1" applyBorder="1" applyAlignment="1"/>
    <xf numFmtId="49" fontId="9" fillId="2" borderId="26" xfId="0" applyNumberFormat="1" applyFont="1" applyFill="1" applyBorder="1" applyAlignment="1">
      <alignment horizontal="center" vertical="center"/>
    </xf>
    <xf numFmtId="0" fontId="9" fillId="2" borderId="26" xfId="0" applyNumberFormat="1" applyFont="1" applyFill="1" applyBorder="1" applyAlignment="1">
      <alignment horizontal="center"/>
    </xf>
    <xf numFmtId="166" fontId="10" fillId="2" borderId="26" xfId="0" applyNumberFormat="1" applyFont="1" applyFill="1" applyBorder="1" applyAlignment="1"/>
    <xf numFmtId="167" fontId="10" fillId="2" borderId="26" xfId="0" applyNumberFormat="1" applyFont="1" applyFill="1" applyBorder="1" applyAlignment="1"/>
    <xf numFmtId="164" fontId="10" fillId="2" borderId="26" xfId="0" applyNumberFormat="1" applyFont="1" applyFill="1" applyBorder="1" applyAlignment="1"/>
    <xf numFmtId="165" fontId="10" fillId="2" borderId="31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32" xfId="0" applyFont="1" applyFill="1" applyBorder="1" applyAlignment="1"/>
    <xf numFmtId="167" fontId="10" fillId="2" borderId="28" xfId="0" applyNumberFormat="1" applyFont="1" applyFill="1" applyBorder="1" applyAlignment="1"/>
    <xf numFmtId="164" fontId="10" fillId="2" borderId="28" xfId="0" applyNumberFormat="1" applyFont="1" applyFill="1" applyBorder="1" applyAlignment="1"/>
    <xf numFmtId="165" fontId="10" fillId="2" borderId="26" xfId="0" applyNumberFormat="1" applyFont="1" applyFill="1" applyBorder="1" applyAlignment="1"/>
    <xf numFmtId="164" fontId="10" fillId="2" borderId="33" xfId="0" applyNumberFormat="1" applyFont="1" applyFill="1" applyBorder="1" applyAlignment="1"/>
    <xf numFmtId="0" fontId="9" fillId="2" borderId="28" xfId="0" applyNumberFormat="1" applyFont="1" applyFill="1" applyBorder="1" applyAlignment="1">
      <alignment horizontal="center"/>
    </xf>
    <xf numFmtId="166" fontId="10" fillId="2" borderId="28" xfId="0" applyNumberFormat="1" applyFont="1" applyFill="1" applyBorder="1" applyAlignment="1"/>
    <xf numFmtId="0" fontId="9" fillId="2" borderId="35" xfId="0" applyFont="1" applyFill="1" applyBorder="1" applyAlignment="1">
      <alignment horizontal="right"/>
    </xf>
    <xf numFmtId="0" fontId="9" fillId="2" borderId="36" xfId="0" applyFont="1" applyFill="1" applyBorder="1" applyAlignment="1">
      <alignment horizontal="center"/>
    </xf>
    <xf numFmtId="49" fontId="9" fillId="2" borderId="33" xfId="0" applyNumberFormat="1" applyFont="1" applyFill="1" applyBorder="1" applyAlignment="1">
      <alignment horizontal="center" vertical="center"/>
    </xf>
    <xf numFmtId="0" fontId="9" fillId="2" borderId="33" xfId="0" applyNumberFormat="1" applyFont="1" applyFill="1" applyBorder="1" applyAlignment="1">
      <alignment horizontal="center"/>
    </xf>
    <xf numFmtId="166" fontId="10" fillId="2" borderId="33" xfId="0" applyNumberFormat="1" applyFont="1" applyFill="1" applyBorder="1" applyAlignment="1"/>
    <xf numFmtId="167" fontId="10" fillId="2" borderId="33" xfId="0" applyNumberFormat="1" applyFont="1" applyFill="1" applyBorder="1" applyAlignment="1"/>
    <xf numFmtId="0" fontId="0" fillId="2" borderId="37" xfId="0" applyNumberFormat="1" applyFont="1" applyFill="1" applyBorder="1" applyAlignment="1"/>
    <xf numFmtId="0" fontId="0" fillId="2" borderId="28" xfId="0" applyNumberFormat="1" applyFont="1" applyFill="1" applyBorder="1" applyAlignment="1"/>
    <xf numFmtId="0" fontId="9" fillId="2" borderId="5" xfId="0" applyFont="1" applyFill="1" applyBorder="1" applyAlignment="1"/>
    <xf numFmtId="49" fontId="9" fillId="2" borderId="40" xfId="0" applyNumberFormat="1" applyFont="1" applyFill="1" applyBorder="1" applyAlignment="1">
      <alignment horizontal="center" vertical="center"/>
    </xf>
    <xf numFmtId="49" fontId="9" fillId="2" borderId="41" xfId="0" applyNumberFormat="1" applyFont="1" applyFill="1" applyBorder="1" applyAlignment="1">
      <alignment horizontal="center" vertical="center"/>
    </xf>
    <xf numFmtId="49" fontId="9" fillId="2" borderId="42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/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2" fillId="2" borderId="12" xfId="0" applyNumberFormat="1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2" fillId="2" borderId="12" xfId="0" applyNumberFormat="1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right"/>
    </xf>
    <xf numFmtId="49" fontId="11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right"/>
    </xf>
    <xf numFmtId="0" fontId="11" fillId="2" borderId="12" xfId="0" applyNumberFormat="1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right"/>
    </xf>
    <xf numFmtId="49" fontId="11" fillId="2" borderId="7" xfId="0" applyNumberFormat="1" applyFont="1" applyFill="1" applyBorder="1" applyAlignment="1">
      <alignment horizontal="right"/>
    </xf>
    <xf numFmtId="49" fontId="11" fillId="2" borderId="7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left" vertical="top" wrapText="1"/>
    </xf>
    <xf numFmtId="49" fontId="1" fillId="2" borderId="16" xfId="0" applyNumberFormat="1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49" fontId="11" fillId="2" borderId="16" xfId="0" applyNumberFormat="1" applyFont="1" applyFill="1" applyBorder="1" applyAlignment="1">
      <alignment horizontal="left" vertical="top" wrapText="1"/>
    </xf>
    <xf numFmtId="16" fontId="11" fillId="2" borderId="14" xfId="0" applyNumberFormat="1" applyFont="1" applyFill="1" applyBorder="1" applyAlignment="1">
      <alignment horizontal="left" vertical="top" wrapText="1"/>
    </xf>
    <xf numFmtId="16" fontId="11" fillId="2" borderId="17" xfId="0" applyNumberFormat="1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horizontal="left" vertical="top" wrapText="1"/>
    </xf>
    <xf numFmtId="49" fontId="12" fillId="2" borderId="16" xfId="0" applyNumberFormat="1" applyFont="1" applyFill="1" applyBorder="1" applyAlignment="1">
      <alignment horizontal="left" vertical="top" wrapText="1"/>
    </xf>
    <xf numFmtId="16" fontId="12" fillId="2" borderId="14" xfId="0" applyNumberFormat="1" applyFont="1" applyFill="1" applyBorder="1" applyAlignment="1">
      <alignment horizontal="left" vertical="top" wrapText="1"/>
    </xf>
    <xf numFmtId="16" fontId="12" fillId="2" borderId="17" xfId="0" applyNumberFormat="1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left" vertical="top" wrapText="1"/>
    </xf>
    <xf numFmtId="49" fontId="11" fillId="2" borderId="12" xfId="0" applyNumberFormat="1" applyFont="1" applyFill="1" applyBorder="1" applyAlignment="1">
      <alignment horizontal="left" vertical="top" wrapText="1"/>
    </xf>
    <xf numFmtId="49" fontId="9" fillId="2" borderId="8" xfId="0" applyNumberFormat="1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49" fontId="9" fillId="4" borderId="26" xfId="0" applyNumberFormat="1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49" fontId="16" fillId="2" borderId="8" xfId="0" applyNumberFormat="1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 wrapText="1"/>
    </xf>
    <xf numFmtId="49" fontId="16" fillId="4" borderId="26" xfId="0" applyNumberFormat="1" applyFont="1" applyFill="1" applyBorder="1" applyAlignment="1">
      <alignment horizontal="center" wrapText="1"/>
    </xf>
    <xf numFmtId="0" fontId="16" fillId="4" borderId="27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right"/>
    </xf>
    <xf numFmtId="0" fontId="9" fillId="2" borderId="29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right"/>
    </xf>
    <xf numFmtId="0" fontId="9" fillId="2" borderId="36" xfId="0" applyFont="1" applyFill="1" applyBorder="1" applyAlignment="1">
      <alignment horizontal="center"/>
    </xf>
    <xf numFmtId="49" fontId="9" fillId="2" borderId="28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43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DD0806"/>
      <rgbColor rgb="FFFCF305"/>
      <rgbColor rgb="FFC0C0C0"/>
      <rgbColor rgb="FFCCCC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showGridLines="0" topLeftCell="A100" workbookViewId="0">
      <selection activeCell="K114" sqref="K114"/>
    </sheetView>
  </sheetViews>
  <sheetFormatPr defaultColWidth="9.109375" defaultRowHeight="13.2" customHeight="1"/>
  <cols>
    <col min="1" max="1" width="34.5546875" style="1" customWidth="1"/>
    <col min="2" max="2" width="13.44140625" style="1" customWidth="1"/>
    <col min="3" max="3" width="11.5546875" style="1" customWidth="1"/>
    <col min="4" max="4" width="14" style="1" customWidth="1"/>
    <col min="5" max="5" width="13.5546875" style="1" customWidth="1"/>
    <col min="6" max="8" width="10.5546875" style="1" customWidth="1"/>
    <col min="9" max="9" width="10.44140625" style="1" customWidth="1"/>
    <col min="10" max="10" width="11.5546875" style="1" customWidth="1"/>
    <col min="11" max="11" width="10.44140625" style="1" customWidth="1"/>
    <col min="12" max="12" width="10.109375" style="1" customWidth="1"/>
    <col min="13" max="13" width="9.88671875" style="1" customWidth="1"/>
    <col min="14" max="35" width="9.5546875" style="1" customWidth="1"/>
    <col min="36" max="256" width="9.109375" style="1" customWidth="1"/>
  </cols>
  <sheetData>
    <row r="1" spans="1:35" ht="15" customHeight="1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" customHeight="1">
      <c r="A2" s="4" t="s">
        <v>1</v>
      </c>
      <c r="B2" s="5">
        <v>0.12239999999999999</v>
      </c>
      <c r="C2" s="6"/>
      <c r="D2" s="7"/>
      <c r="E2" s="2"/>
      <c r="F2" s="8"/>
      <c r="G2" s="8"/>
      <c r="H2" s="2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" customHeight="1">
      <c r="A3" s="8"/>
      <c r="B3" s="10"/>
      <c r="C3" s="8"/>
      <c r="D3" s="8"/>
      <c r="E3" s="8"/>
      <c r="F3" s="8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 customHeight="1">
      <c r="A4" s="276" t="s">
        <v>2</v>
      </c>
      <c r="B4" s="277"/>
      <c r="C4" s="277"/>
      <c r="D4" s="278"/>
      <c r="E4" s="278"/>
      <c r="F4" s="278"/>
      <c r="G4" s="27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 customHeight="1">
      <c r="A5" s="282" t="s">
        <v>3</v>
      </c>
      <c r="B5" s="283"/>
      <c r="C5" s="284"/>
      <c r="D5" s="1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24.6" customHeight="1">
      <c r="A6" s="12" t="s">
        <v>4</v>
      </c>
      <c r="B6" s="13">
        <v>30</v>
      </c>
      <c r="C6" s="14">
        <f>B46</f>
        <v>22</v>
      </c>
      <c r="D6" s="1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24.6" customHeight="1">
      <c r="A7" s="12" t="s">
        <v>5</v>
      </c>
      <c r="B7" s="13">
        <f>D69</f>
        <v>25</v>
      </c>
      <c r="C7" s="14">
        <f>B59</f>
        <v>24</v>
      </c>
      <c r="D7" s="1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24.6" customHeight="1">
      <c r="A8" s="12" t="s">
        <v>6</v>
      </c>
      <c r="B8" s="13">
        <f>D45</f>
        <v>40</v>
      </c>
      <c r="C8" s="14">
        <f>B28</f>
        <v>13</v>
      </c>
      <c r="D8" s="1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 customHeight="1">
      <c r="A9" s="279" t="s">
        <v>7</v>
      </c>
      <c r="B9" s="280"/>
      <c r="C9" s="281"/>
      <c r="D9" s="1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24.6" customHeight="1">
      <c r="A10" s="12" t="s">
        <v>8</v>
      </c>
      <c r="B10" s="16"/>
      <c r="C10" s="17">
        <v>0.3</v>
      </c>
      <c r="D10" s="1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24.6" customHeight="1">
      <c r="A11" s="12" t="s">
        <v>9</v>
      </c>
      <c r="B11" s="16"/>
      <c r="C11" s="17">
        <v>2E-3</v>
      </c>
      <c r="D11" s="1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customHeight="1">
      <c r="A12" s="12" t="s">
        <v>10</v>
      </c>
      <c r="B12" s="16"/>
      <c r="C12" s="16">
        <f>C10+C11</f>
        <v>0.30199999999999999</v>
      </c>
      <c r="D12" s="1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" customHeight="1">
      <c r="A13" s="18"/>
      <c r="B13" s="18"/>
      <c r="C13" s="1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" customHeight="1">
      <c r="A14" s="276" t="s">
        <v>11</v>
      </c>
      <c r="B14" s="277"/>
      <c r="C14" s="277"/>
      <c r="D14" s="278"/>
      <c r="E14" s="278"/>
      <c r="F14" s="278"/>
      <c r="G14" s="27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" customHeight="1">
      <c r="A15" s="12" t="s">
        <v>12</v>
      </c>
      <c r="B15" s="19">
        <v>695.5</v>
      </c>
      <c r="C15" s="13">
        <v>0</v>
      </c>
      <c r="D15" s="1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" customHeight="1">
      <c r="A16" s="12" t="s">
        <v>13</v>
      </c>
      <c r="B16" s="19">
        <f>B15/4</f>
        <v>173.875</v>
      </c>
      <c r="C16" s="13">
        <f>C15/4</f>
        <v>0</v>
      </c>
      <c r="D16" s="1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" customHeight="1">
      <c r="A17" s="18"/>
      <c r="B17" s="18"/>
      <c r="C17" s="1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 customHeight="1">
      <c r="A18" s="276" t="s">
        <v>14</v>
      </c>
      <c r="B18" s="277"/>
      <c r="C18" s="277"/>
      <c r="D18" s="278"/>
      <c r="E18" s="278"/>
      <c r="F18" s="278"/>
      <c r="G18" s="27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" customHeight="1">
      <c r="A19" s="20"/>
      <c r="B19" s="21" t="s">
        <v>15</v>
      </c>
      <c r="C19" s="21" t="s">
        <v>16</v>
      </c>
      <c r="D19" s="22"/>
      <c r="E19" s="23"/>
      <c r="F19" s="23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" customHeight="1">
      <c r="A20" s="12" t="s">
        <v>17</v>
      </c>
      <c r="B20" s="19">
        <v>25</v>
      </c>
      <c r="C20" s="16">
        <f>100%/B20</f>
        <v>0.04</v>
      </c>
      <c r="D20" s="1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" customHeight="1">
      <c r="A21" s="12" t="s">
        <v>18</v>
      </c>
      <c r="B21" s="19">
        <v>10</v>
      </c>
      <c r="C21" s="16">
        <f>100%/B21</f>
        <v>0.1</v>
      </c>
      <c r="D21" s="1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" customHeight="1">
      <c r="A22" s="12" t="s">
        <v>19</v>
      </c>
      <c r="B22" s="19">
        <v>10</v>
      </c>
      <c r="C22" s="16">
        <f>IFERROR(100%/B22,0)</f>
        <v>0.1</v>
      </c>
      <c r="D22" s="1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" customHeight="1">
      <c r="A23" s="12" t="s">
        <v>20</v>
      </c>
      <c r="B23" s="19">
        <v>15</v>
      </c>
      <c r="C23" s="16">
        <f>IFERROR(100%/B23,0)</f>
        <v>6.6666666666666666E-2</v>
      </c>
      <c r="D23" s="1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 customHeight="1">
      <c r="A24" s="12" t="s">
        <v>21</v>
      </c>
      <c r="B24" s="19">
        <v>14</v>
      </c>
      <c r="C24" s="16">
        <f>IFERROR(100%/B24,0)</f>
        <v>7.1428571428571425E-2</v>
      </c>
      <c r="D24" s="1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" customHeight="1">
      <c r="A25" s="18"/>
      <c r="B25" s="18"/>
      <c r="C25" s="1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.9" customHeight="1">
      <c r="A26" s="24" t="s">
        <v>22</v>
      </c>
      <c r="B26" s="25">
        <v>2021</v>
      </c>
      <c r="C26" s="26"/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" customHeight="1">
      <c r="A27" s="28"/>
      <c r="B27" s="28"/>
      <c r="C27" s="28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26.4" customHeight="1">
      <c r="A28" s="29" t="s">
        <v>6</v>
      </c>
      <c r="B28" s="30">
        <v>13</v>
      </c>
      <c r="C28" s="31">
        <v>40000</v>
      </c>
      <c r="D28" s="31">
        <f t="shared" ref="D28:D43" si="0">B28*C28</f>
        <v>520000</v>
      </c>
      <c r="E28" s="15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3.2" hidden="1" customHeight="1">
      <c r="A29" s="32"/>
      <c r="B29" s="33"/>
      <c r="C29" s="31"/>
      <c r="D29" s="31">
        <f t="shared" si="0"/>
        <v>0</v>
      </c>
      <c r="E29" s="1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3.2" hidden="1" customHeight="1">
      <c r="A30" s="32"/>
      <c r="B30" s="33"/>
      <c r="C30" s="31"/>
      <c r="D30" s="31">
        <f t="shared" si="0"/>
        <v>0</v>
      </c>
      <c r="E30" s="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2" hidden="1" customHeight="1">
      <c r="A31" s="32"/>
      <c r="B31" s="33"/>
      <c r="C31" s="31"/>
      <c r="D31" s="31">
        <f t="shared" si="0"/>
        <v>0</v>
      </c>
      <c r="E31" s="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3.2" hidden="1" customHeight="1">
      <c r="A32" s="32"/>
      <c r="B32" s="33"/>
      <c r="C32" s="31"/>
      <c r="D32" s="31">
        <f t="shared" si="0"/>
        <v>0</v>
      </c>
      <c r="E32" s="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3.2" hidden="1" customHeight="1">
      <c r="A33" s="32"/>
      <c r="B33" s="33"/>
      <c r="C33" s="31"/>
      <c r="D33" s="31">
        <f t="shared" si="0"/>
        <v>0</v>
      </c>
      <c r="E33" s="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3.2" hidden="1" customHeight="1">
      <c r="A34" s="32"/>
      <c r="B34" s="33"/>
      <c r="C34" s="31"/>
      <c r="D34" s="31">
        <f t="shared" si="0"/>
        <v>0</v>
      </c>
      <c r="E34" s="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3.2" hidden="1" customHeight="1">
      <c r="A35" s="32"/>
      <c r="B35" s="33"/>
      <c r="C35" s="31"/>
      <c r="D35" s="31">
        <f t="shared" si="0"/>
        <v>0</v>
      </c>
      <c r="E35" s="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2" hidden="1" customHeight="1">
      <c r="A36" s="32"/>
      <c r="B36" s="33"/>
      <c r="C36" s="31"/>
      <c r="D36" s="31">
        <f t="shared" si="0"/>
        <v>0</v>
      </c>
      <c r="E36" s="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3.2" hidden="1" customHeight="1">
      <c r="A37" s="32"/>
      <c r="B37" s="32"/>
      <c r="C37" s="31"/>
      <c r="D37" s="31">
        <f t="shared" si="0"/>
        <v>0</v>
      </c>
      <c r="E37" s="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3.2" hidden="1" customHeight="1">
      <c r="A38" s="32"/>
      <c r="B38" s="32"/>
      <c r="C38" s="31"/>
      <c r="D38" s="31">
        <f t="shared" si="0"/>
        <v>0</v>
      </c>
      <c r="E38" s="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3.2" hidden="1" customHeight="1">
      <c r="A39" s="32"/>
      <c r="B39" s="32"/>
      <c r="C39" s="31"/>
      <c r="D39" s="31">
        <f t="shared" si="0"/>
        <v>0</v>
      </c>
      <c r="E39" s="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3.2" hidden="1" customHeight="1">
      <c r="A40" s="32"/>
      <c r="B40" s="32"/>
      <c r="C40" s="31"/>
      <c r="D40" s="31">
        <f t="shared" si="0"/>
        <v>0</v>
      </c>
      <c r="E40" s="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2" hidden="1" customHeight="1">
      <c r="A41" s="32"/>
      <c r="B41" s="32"/>
      <c r="C41" s="31"/>
      <c r="D41" s="31">
        <f t="shared" si="0"/>
        <v>0</v>
      </c>
      <c r="E41" s="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3.2" hidden="1" customHeight="1">
      <c r="A42" s="32"/>
      <c r="B42" s="32"/>
      <c r="C42" s="31"/>
      <c r="D42" s="31">
        <f t="shared" si="0"/>
        <v>0</v>
      </c>
      <c r="E42" s="1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2" hidden="1" customHeight="1">
      <c r="A43" s="32"/>
      <c r="B43" s="32"/>
      <c r="C43" s="31"/>
      <c r="D43" s="31">
        <f t="shared" si="0"/>
        <v>0</v>
      </c>
      <c r="E43" s="1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.9" customHeight="1">
      <c r="A44" s="34"/>
      <c r="B44" s="35">
        <f>SUM(B28:B43)</f>
        <v>13</v>
      </c>
      <c r="C44" s="18"/>
      <c r="D44" s="36">
        <f>SUM(D28:D43)</f>
        <v>520000</v>
      </c>
      <c r="E44" s="24" t="s">
        <v>23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.9" customHeight="1">
      <c r="A45" s="37"/>
      <c r="B45" s="28"/>
      <c r="C45" s="28"/>
      <c r="D45" s="38">
        <f>IF(B44=0,"",D44/B44/1000)</f>
        <v>40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26.4" customHeight="1">
      <c r="A46" s="29" t="s">
        <v>4</v>
      </c>
      <c r="B46" s="30">
        <v>22</v>
      </c>
      <c r="C46" s="31">
        <v>35000</v>
      </c>
      <c r="D46" s="31">
        <f t="shared" ref="D46:D56" si="1">B46*C46</f>
        <v>770000</v>
      </c>
      <c r="E46" s="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 customHeight="1">
      <c r="A47" s="32"/>
      <c r="B47" s="33"/>
      <c r="C47" s="31"/>
      <c r="D47" s="31">
        <f t="shared" si="1"/>
        <v>0</v>
      </c>
      <c r="E47" s="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3.2" hidden="1" customHeight="1">
      <c r="A48" s="32"/>
      <c r="B48" s="33"/>
      <c r="C48" s="31"/>
      <c r="D48" s="31">
        <f t="shared" si="1"/>
        <v>0</v>
      </c>
      <c r="E48" s="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3.2" hidden="1" customHeight="1">
      <c r="A49" s="32"/>
      <c r="B49" s="32"/>
      <c r="C49" s="31"/>
      <c r="D49" s="31">
        <f t="shared" si="1"/>
        <v>0</v>
      </c>
      <c r="E49" s="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3.2" hidden="1" customHeight="1">
      <c r="A50" s="32"/>
      <c r="B50" s="32"/>
      <c r="C50" s="31"/>
      <c r="D50" s="31">
        <f t="shared" si="1"/>
        <v>0</v>
      </c>
      <c r="E50" s="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3.2" hidden="1" customHeight="1">
      <c r="A51" s="32"/>
      <c r="B51" s="32"/>
      <c r="C51" s="31"/>
      <c r="D51" s="31">
        <f t="shared" si="1"/>
        <v>0</v>
      </c>
      <c r="E51" s="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3.2" hidden="1" customHeight="1">
      <c r="A52" s="32"/>
      <c r="B52" s="32"/>
      <c r="C52" s="31"/>
      <c r="D52" s="31">
        <f t="shared" si="1"/>
        <v>0</v>
      </c>
      <c r="E52" s="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3.2" hidden="1" customHeight="1">
      <c r="A53" s="32"/>
      <c r="B53" s="32"/>
      <c r="C53" s="31"/>
      <c r="D53" s="31">
        <f t="shared" si="1"/>
        <v>0</v>
      </c>
      <c r="E53" s="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3.2" hidden="1" customHeight="1">
      <c r="A54" s="32"/>
      <c r="B54" s="32"/>
      <c r="C54" s="31"/>
      <c r="D54" s="31">
        <f t="shared" si="1"/>
        <v>0</v>
      </c>
      <c r="E54" s="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3.2" hidden="1" customHeight="1">
      <c r="A55" s="32"/>
      <c r="B55" s="32"/>
      <c r="C55" s="31"/>
      <c r="D55" s="31">
        <f t="shared" si="1"/>
        <v>0</v>
      </c>
      <c r="E55" s="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2" hidden="1" customHeight="1">
      <c r="A56" s="32"/>
      <c r="B56" s="32"/>
      <c r="C56" s="31"/>
      <c r="D56" s="31">
        <f t="shared" si="1"/>
        <v>0</v>
      </c>
      <c r="E56" s="1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5.9" customHeight="1">
      <c r="A57" s="34"/>
      <c r="B57" s="35">
        <f>SUM(B46:B56)</f>
        <v>22</v>
      </c>
      <c r="C57" s="18"/>
      <c r="D57" s="36">
        <f>SUM(D46:D56)</f>
        <v>770000</v>
      </c>
      <c r="E57" s="24" t="s">
        <v>24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5.9" customHeight="1">
      <c r="A58" s="37"/>
      <c r="B58" s="28"/>
      <c r="C58" s="28"/>
      <c r="D58" s="38">
        <f>IF(B57=0,"",D57/B57/1000)</f>
        <v>35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" customHeight="1">
      <c r="A59" s="29" t="s">
        <v>25</v>
      </c>
      <c r="B59" s="30">
        <v>24</v>
      </c>
      <c r="C59" s="31">
        <v>25000</v>
      </c>
      <c r="D59" s="31">
        <f>B59*C59</f>
        <v>600000</v>
      </c>
      <c r="E59" s="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2" hidden="1" customHeight="1">
      <c r="A60" s="32"/>
      <c r="B60" s="32"/>
      <c r="C60" s="31"/>
      <c r="D60" s="31"/>
      <c r="E60" s="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2" hidden="1" customHeight="1">
      <c r="A61" s="32"/>
      <c r="B61" s="32"/>
      <c r="C61" s="31"/>
      <c r="D61" s="31"/>
      <c r="E61" s="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2" hidden="1" customHeight="1">
      <c r="A62" s="32"/>
      <c r="B62" s="32"/>
      <c r="C62" s="31"/>
      <c r="D62" s="31"/>
      <c r="E62" s="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2" hidden="1" customHeight="1">
      <c r="A63" s="32"/>
      <c r="B63" s="32"/>
      <c r="C63" s="31"/>
      <c r="D63" s="31"/>
      <c r="E63" s="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3.2" hidden="1" customHeight="1">
      <c r="A64" s="32"/>
      <c r="B64" s="32"/>
      <c r="C64" s="31"/>
      <c r="D64" s="31"/>
      <c r="E64" s="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3.2" hidden="1" customHeight="1">
      <c r="A65" s="32"/>
      <c r="B65" s="32"/>
      <c r="C65" s="31"/>
      <c r="D65" s="31"/>
      <c r="E65" s="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2" hidden="1" customHeight="1">
      <c r="A66" s="32"/>
      <c r="B66" s="32"/>
      <c r="C66" s="31"/>
      <c r="D66" s="31"/>
      <c r="E66" s="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2" hidden="1" customHeight="1">
      <c r="A67" s="32"/>
      <c r="B67" s="32"/>
      <c r="C67" s="31"/>
      <c r="D67" s="31"/>
      <c r="E67" s="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" customHeight="1">
      <c r="A68" s="18"/>
      <c r="B68" s="35">
        <f>SUM(B59:B67)</f>
        <v>24</v>
      </c>
      <c r="C68" s="18"/>
      <c r="D68" s="36">
        <f>SUM(D59:D67)</f>
        <v>600000</v>
      </c>
      <c r="E68" s="24" t="s">
        <v>26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" customHeight="1">
      <c r="A69" s="2"/>
      <c r="B69" s="2"/>
      <c r="C69" s="24" t="s">
        <v>27</v>
      </c>
      <c r="D69" s="39">
        <f>IF(B68=0,"",D68/B68/1000)</f>
        <v>25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7.399999999999999" customHeight="1">
      <c r="A70" s="40" t="s">
        <v>28</v>
      </c>
      <c r="B70" s="39">
        <f>B44+B57+B68</f>
        <v>59</v>
      </c>
      <c r="C70" s="39">
        <f>(D44+D57+D68)/B70</f>
        <v>32033.898305084746</v>
      </c>
      <c r="D70" s="39">
        <f>(D44+D57+D68)/1000</f>
        <v>1890</v>
      </c>
      <c r="E70" s="39">
        <f>C70*12</f>
        <v>384406.77966101695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" customHeight="1">
      <c r="A71" s="2"/>
      <c r="B71" s="2"/>
      <c r="C71" s="2"/>
      <c r="D71" s="41">
        <f>IF(B70=0,"",D70/B70)</f>
        <v>32.033898305084747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5" customHeight="1">
      <c r="A72" s="28"/>
      <c r="B72" s="28"/>
      <c r="C72" s="28"/>
      <c r="D72" s="42"/>
      <c r="E72" s="2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36.75" customHeight="1">
      <c r="A73" s="43">
        <f>A81</f>
        <v>0</v>
      </c>
      <c r="B73" s="43">
        <f>A82</f>
        <v>0</v>
      </c>
      <c r="C73" s="43">
        <f>A83</f>
        <v>0</v>
      </c>
      <c r="D73" s="44">
        <f>A84</f>
        <v>0</v>
      </c>
      <c r="E73" s="45" t="str">
        <f>A93</f>
        <v>Продукция (услуга, работа)</v>
      </c>
      <c r="F73" s="1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" customHeight="1">
      <c r="A74" s="13">
        <f>IF(A73&lt;=COUNT($C$81:$C$98),$C$6/COUNT($C$81:$C$98),0)</f>
        <v>3.6666666666666665</v>
      </c>
      <c r="B74" s="13">
        <f>IF(B73&lt;=COUNT($C$81:$C$98),$C$6/COUNT($C$81:$C$98),0)</f>
        <v>3.6666666666666665</v>
      </c>
      <c r="C74" s="13">
        <f>IF(C73&lt;=COUNT($C$81:$C$98),$C$6/COUNT($C$81:$C$98),0)</f>
        <v>3.6666666666666665</v>
      </c>
      <c r="D74" s="13">
        <f>IF(D73&lt;=COUNT($C$81:$C$98),$C$6/COUNT($C$81:$C$98),0)</f>
        <v>3.6666666666666665</v>
      </c>
      <c r="E74" s="13">
        <f>IF(E73&lt;=COUNT($C$81:$C$98),$C$6/COUNT($C$81:$C$98),0)</f>
        <v>0</v>
      </c>
      <c r="F74" s="1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" customHeight="1">
      <c r="A75" s="16">
        <f>IF($C$6=0,0,A74/$C$6)</f>
        <v>0.16666666666666666</v>
      </c>
      <c r="B75" s="16">
        <f>IF($C$6=0,0,B74/$C$6)</f>
        <v>0.16666666666666666</v>
      </c>
      <c r="C75" s="16">
        <f>IF($C$6=0,0,C74/$C$6)</f>
        <v>0.16666666666666666</v>
      </c>
      <c r="D75" s="16">
        <f>IF($C$6=0,0,D74/$C$6)</f>
        <v>0.16666666666666666</v>
      </c>
      <c r="E75" s="16">
        <f>IF($C$6=0,0,E74/$C$6)</f>
        <v>0</v>
      </c>
      <c r="F75" s="1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" customHeight="1">
      <c r="A76" s="18"/>
      <c r="B76" s="18"/>
      <c r="C76" s="18"/>
      <c r="D76" s="46"/>
      <c r="E76" s="1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" customHeight="1">
      <c r="A77" s="2"/>
      <c r="B77" s="2"/>
      <c r="C77" s="2"/>
      <c r="D77" s="4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" customHeight="1">
      <c r="A78" s="2"/>
      <c r="B78" s="2"/>
      <c r="C78" s="2"/>
      <c r="D78" s="4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5" customHeight="1">
      <c r="A79" s="28"/>
      <c r="B79" s="28"/>
      <c r="C79" s="28"/>
      <c r="D79" s="2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5" customHeight="1">
      <c r="A80" s="47" t="s">
        <v>29</v>
      </c>
      <c r="B80" s="47" t="s">
        <v>30</v>
      </c>
      <c r="C80" s="47" t="s">
        <v>31</v>
      </c>
      <c r="D80" s="47" t="s">
        <v>16</v>
      </c>
      <c r="E80" s="48" t="s">
        <v>32</v>
      </c>
      <c r="F80" s="1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256" ht="17.399999999999999" customHeight="1">
      <c r="A81" s="49"/>
      <c r="B81" s="47" t="s">
        <v>33</v>
      </c>
      <c r="C81" s="50">
        <v>1.35</v>
      </c>
      <c r="D81" s="51">
        <v>0.2</v>
      </c>
      <c r="E81" s="15"/>
      <c r="F81" s="24" t="s">
        <v>328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256" ht="15" customHeight="1">
      <c r="A82" s="52"/>
      <c r="B82" s="53"/>
      <c r="C82" s="50">
        <v>1.35</v>
      </c>
      <c r="D82" s="51">
        <v>0.16</v>
      </c>
      <c r="E82" s="15"/>
      <c r="F82" s="24" t="s">
        <v>329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256" ht="15" customHeight="1">
      <c r="A83" s="52"/>
      <c r="B83" s="53"/>
      <c r="C83" s="50">
        <v>2.0499999999999998</v>
      </c>
      <c r="D83" s="51">
        <v>0.16</v>
      </c>
      <c r="E83" s="15"/>
      <c r="F83" s="24" t="s">
        <v>330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256" ht="15" customHeight="1">
      <c r="A84" s="52"/>
      <c r="B84" s="53"/>
      <c r="C84" s="50">
        <v>2.2000000000000002</v>
      </c>
      <c r="D84" s="51">
        <v>0.16</v>
      </c>
      <c r="E84" s="15"/>
      <c r="F84" s="24" t="s">
        <v>331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256" ht="15" customHeight="1">
      <c r="A85" s="52"/>
      <c r="B85" s="53"/>
      <c r="C85" s="50">
        <v>2.85</v>
      </c>
      <c r="D85" s="51">
        <v>0.16</v>
      </c>
      <c r="E85" s="15"/>
      <c r="F85" s="24" t="s">
        <v>332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27"/>
      <c r="CD85" s="227"/>
      <c r="CE85" s="227"/>
      <c r="CF85" s="227"/>
      <c r="CG85" s="227"/>
      <c r="CH85" s="227"/>
      <c r="CI85" s="227"/>
      <c r="CJ85" s="227"/>
      <c r="CK85" s="227"/>
      <c r="CL85" s="227"/>
      <c r="CM85" s="227"/>
      <c r="CN85" s="227"/>
      <c r="CO85" s="227"/>
      <c r="CP85" s="227"/>
      <c r="CQ85" s="227"/>
      <c r="CR85" s="227"/>
      <c r="CS85" s="227"/>
      <c r="CT85" s="227"/>
      <c r="CU85" s="227"/>
      <c r="CV85" s="227"/>
      <c r="CW85" s="227"/>
      <c r="CX85" s="227"/>
      <c r="CY85" s="227"/>
      <c r="CZ85" s="227"/>
      <c r="DA85" s="227"/>
      <c r="DB85" s="227"/>
      <c r="DC85" s="227"/>
      <c r="DD85" s="227"/>
      <c r="DE85" s="227"/>
      <c r="DF85" s="227"/>
      <c r="DG85" s="227"/>
      <c r="DH85" s="227"/>
      <c r="DI85" s="227"/>
      <c r="DJ85" s="227"/>
      <c r="DK85" s="227"/>
      <c r="DL85" s="227"/>
      <c r="DM85" s="227"/>
      <c r="DN85" s="227"/>
      <c r="DO85" s="227"/>
      <c r="DP85" s="227"/>
      <c r="DQ85" s="227"/>
      <c r="DR85" s="227"/>
      <c r="DS85" s="227"/>
      <c r="DT85" s="227"/>
      <c r="DU85" s="227"/>
      <c r="DV85" s="227"/>
      <c r="DW85" s="227"/>
      <c r="DX85" s="227"/>
      <c r="DY85" s="227"/>
      <c r="DZ85" s="227"/>
      <c r="EA85" s="227"/>
      <c r="EB85" s="227"/>
      <c r="EC85" s="227"/>
      <c r="ED85" s="227"/>
      <c r="EE85" s="227"/>
      <c r="EF85" s="227"/>
      <c r="EG85" s="227"/>
      <c r="EH85" s="227"/>
      <c r="EI85" s="227"/>
      <c r="EJ85" s="227"/>
      <c r="EK85" s="227"/>
      <c r="EL85" s="227"/>
      <c r="EM85" s="227"/>
      <c r="EN85" s="227"/>
      <c r="EO85" s="227"/>
      <c r="EP85" s="227"/>
      <c r="EQ85" s="227"/>
      <c r="ER85" s="227"/>
      <c r="ES85" s="227"/>
      <c r="ET85" s="227"/>
      <c r="EU85" s="227"/>
      <c r="EV85" s="227"/>
      <c r="EW85" s="227"/>
      <c r="EX85" s="227"/>
      <c r="EY85" s="227"/>
      <c r="EZ85" s="227"/>
      <c r="FA85" s="227"/>
      <c r="FB85" s="227"/>
      <c r="FC85" s="227"/>
      <c r="FD85" s="227"/>
      <c r="FE85" s="227"/>
      <c r="FF85" s="227"/>
      <c r="FG85" s="227"/>
      <c r="FH85" s="227"/>
      <c r="FI85" s="227"/>
      <c r="FJ85" s="227"/>
      <c r="FK85" s="227"/>
      <c r="FL85" s="227"/>
      <c r="FM85" s="227"/>
      <c r="FN85" s="227"/>
      <c r="FO85" s="227"/>
      <c r="FP85" s="227"/>
      <c r="FQ85" s="227"/>
      <c r="FR85" s="227"/>
      <c r="FS85" s="227"/>
      <c r="FT85" s="227"/>
      <c r="FU85" s="227"/>
      <c r="FV85" s="227"/>
      <c r="FW85" s="227"/>
      <c r="FX85" s="227"/>
      <c r="FY85" s="227"/>
      <c r="FZ85" s="227"/>
      <c r="GA85" s="227"/>
      <c r="GB85" s="227"/>
      <c r="GC85" s="227"/>
      <c r="GD85" s="227"/>
      <c r="GE85" s="227"/>
      <c r="GF85" s="227"/>
      <c r="GG85" s="227"/>
      <c r="GH85" s="227"/>
      <c r="GI85" s="227"/>
      <c r="GJ85" s="227"/>
      <c r="GK85" s="227"/>
      <c r="GL85" s="227"/>
      <c r="GM85" s="227"/>
      <c r="GN85" s="227"/>
      <c r="GO85" s="227"/>
      <c r="GP85" s="227"/>
      <c r="GQ85" s="227"/>
      <c r="GR85" s="227"/>
      <c r="GS85" s="227"/>
      <c r="GT85" s="227"/>
      <c r="GU85" s="227"/>
      <c r="GV85" s="227"/>
      <c r="GW85" s="227"/>
      <c r="GX85" s="227"/>
      <c r="GY85" s="227"/>
      <c r="GZ85" s="227"/>
      <c r="HA85" s="227"/>
      <c r="HB85" s="227"/>
      <c r="HC85" s="227"/>
      <c r="HD85" s="227"/>
      <c r="HE85" s="227"/>
      <c r="HF85" s="227"/>
      <c r="HG85" s="227"/>
      <c r="HH85" s="227"/>
      <c r="HI85" s="227"/>
      <c r="HJ85" s="227"/>
      <c r="HK85" s="227"/>
      <c r="HL85" s="227"/>
      <c r="HM85" s="227"/>
      <c r="HN85" s="227"/>
      <c r="HO85" s="227"/>
      <c r="HP85" s="227"/>
      <c r="HQ85" s="227"/>
      <c r="HR85" s="227"/>
      <c r="HS85" s="227"/>
      <c r="HT85" s="227"/>
      <c r="HU85" s="227"/>
      <c r="HV85" s="227"/>
      <c r="HW85" s="227"/>
      <c r="HX85" s="227"/>
      <c r="HY85" s="227"/>
      <c r="HZ85" s="227"/>
      <c r="IA85" s="227"/>
      <c r="IB85" s="227"/>
      <c r="IC85" s="227"/>
      <c r="ID85" s="227"/>
      <c r="IE85" s="227"/>
      <c r="IF85" s="227"/>
      <c r="IG85" s="227"/>
      <c r="IH85" s="227"/>
      <c r="II85" s="227"/>
      <c r="IJ85" s="227"/>
      <c r="IK85" s="227"/>
      <c r="IL85" s="227"/>
      <c r="IM85" s="227"/>
      <c r="IN85" s="227"/>
      <c r="IO85" s="227"/>
      <c r="IP85" s="227"/>
      <c r="IQ85" s="227"/>
      <c r="IR85" s="227"/>
      <c r="IS85" s="227"/>
      <c r="IT85" s="227"/>
      <c r="IU85" s="227"/>
      <c r="IV85" s="227"/>
    </row>
    <row r="86" spans="1:256" ht="15" customHeight="1">
      <c r="A86" s="52"/>
      <c r="B86" s="53"/>
      <c r="C86" s="50">
        <v>4.49</v>
      </c>
      <c r="D86" s="51">
        <v>0.16</v>
      </c>
      <c r="E86" s="15"/>
      <c r="F86" s="24" t="s">
        <v>333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256" ht="13.2" hidden="1" customHeight="1">
      <c r="A87" s="54" t="s">
        <v>34</v>
      </c>
      <c r="B87" s="53"/>
      <c r="C87" s="55"/>
      <c r="D87" s="51"/>
      <c r="E87" s="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256" ht="13.2" hidden="1" customHeight="1">
      <c r="A88" s="54" t="s">
        <v>34</v>
      </c>
      <c r="B88" s="53"/>
      <c r="C88" s="55"/>
      <c r="D88" s="51"/>
      <c r="E88" s="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256" ht="13.2" hidden="1" customHeight="1">
      <c r="A89" s="54" t="s">
        <v>34</v>
      </c>
      <c r="B89" s="53"/>
      <c r="C89" s="55"/>
      <c r="D89" s="51"/>
      <c r="E89" s="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256" ht="13.2" hidden="1" customHeight="1">
      <c r="A90" s="54" t="s">
        <v>34</v>
      </c>
      <c r="B90" s="53"/>
      <c r="C90" s="55"/>
      <c r="D90" s="51"/>
      <c r="E90" s="1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256" ht="13.2" hidden="1" customHeight="1">
      <c r="A91" s="54" t="s">
        <v>34</v>
      </c>
      <c r="B91" s="53"/>
      <c r="C91" s="55"/>
      <c r="D91" s="51"/>
      <c r="E91" s="1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256" ht="13.2" hidden="1" customHeight="1">
      <c r="A92" s="54" t="s">
        <v>34</v>
      </c>
      <c r="B92" s="53"/>
      <c r="C92" s="55"/>
      <c r="D92" s="51"/>
      <c r="E92" s="1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256" ht="13.2" hidden="1" customHeight="1">
      <c r="A93" s="54" t="s">
        <v>34</v>
      </c>
      <c r="B93" s="53"/>
      <c r="C93" s="55"/>
      <c r="D93" s="53"/>
      <c r="E93" s="1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256" ht="13.2" hidden="1" customHeight="1">
      <c r="A94" s="54" t="s">
        <v>34</v>
      </c>
      <c r="B94" s="53"/>
      <c r="C94" s="56"/>
      <c r="D94" s="53"/>
      <c r="E94" s="1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256" ht="13.2" hidden="1" customHeight="1">
      <c r="A95" s="54" t="s">
        <v>34</v>
      </c>
      <c r="B95" s="53"/>
      <c r="C95" s="56"/>
      <c r="D95" s="53"/>
      <c r="E95" s="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256" ht="13.2" hidden="1" customHeight="1">
      <c r="A96" s="54" t="s">
        <v>34</v>
      </c>
      <c r="B96" s="53"/>
      <c r="C96" s="56"/>
      <c r="D96" s="53"/>
      <c r="E96" s="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51" ht="13.2" hidden="1" customHeight="1">
      <c r="A97" s="54" t="s">
        <v>34</v>
      </c>
      <c r="B97" s="53"/>
      <c r="C97" s="56"/>
      <c r="D97" s="53"/>
      <c r="E97" s="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51" ht="13.2" hidden="1" customHeight="1">
      <c r="A98" s="54" t="s">
        <v>34</v>
      </c>
      <c r="B98" s="53"/>
      <c r="C98" s="56"/>
      <c r="D98" s="53"/>
      <c r="E98" s="1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51" ht="15" customHeight="1">
      <c r="A99" s="18"/>
      <c r="B99" s="18"/>
      <c r="C99" s="18"/>
      <c r="D99" s="1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51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51" ht="15" customHeight="1">
      <c r="A101" s="57" t="s">
        <v>35</v>
      </c>
      <c r="B101" s="58" t="s">
        <v>36</v>
      </c>
      <c r="C101" s="58" t="s">
        <v>37</v>
      </c>
      <c r="D101" s="58" t="s">
        <v>38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51" ht="15" customHeight="1">
      <c r="A102" s="59" t="s">
        <v>39</v>
      </c>
      <c r="B102" s="60">
        <v>2.1999999999999999E-2</v>
      </c>
      <c r="C102" s="61">
        <v>1</v>
      </c>
      <c r="D102" s="62"/>
      <c r="E102" s="6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51" ht="15" customHeight="1">
      <c r="A103" s="59" t="s">
        <v>40</v>
      </c>
      <c r="B103" s="60">
        <v>0.2</v>
      </c>
      <c r="C103" s="61">
        <v>0.9</v>
      </c>
      <c r="D103" s="62"/>
      <c r="E103" s="6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51" ht="15" customHeight="1">
      <c r="A104" s="59" t="s">
        <v>41</v>
      </c>
      <c r="B104" s="64"/>
      <c r="C104" s="62"/>
      <c r="D104" s="62"/>
      <c r="E104" s="6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51" ht="15" customHeight="1">
      <c r="A105" s="59" t="s">
        <v>42</v>
      </c>
      <c r="B105" s="64"/>
      <c r="C105" s="61">
        <v>1</v>
      </c>
      <c r="D105" s="62"/>
      <c r="E105" s="6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51" ht="24.6" customHeight="1">
      <c r="A106" s="59" t="s">
        <v>43</v>
      </c>
      <c r="B106" s="64"/>
      <c r="C106" s="61">
        <v>0.8</v>
      </c>
      <c r="D106" s="62"/>
      <c r="E106" s="6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51" ht="24.6" customHeight="1">
      <c r="A107" s="59" t="s">
        <v>44</v>
      </c>
      <c r="B107" s="64"/>
      <c r="C107" s="61">
        <v>0</v>
      </c>
      <c r="D107" s="62"/>
      <c r="E107" s="6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51" ht="15" customHeight="1">
      <c r="A108" s="59" t="s">
        <v>45</v>
      </c>
      <c r="B108" s="64"/>
      <c r="C108" s="61">
        <v>1</v>
      </c>
      <c r="D108" s="62"/>
      <c r="E108" s="6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51" ht="15" customHeight="1">
      <c r="A109" s="59" t="s">
        <v>46</v>
      </c>
      <c r="B109" s="64"/>
      <c r="C109" s="62"/>
      <c r="D109" s="61">
        <v>1</v>
      </c>
      <c r="E109" s="6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51" ht="15" customHeight="1">
      <c r="A110" s="18"/>
      <c r="B110" s="65"/>
      <c r="C110" s="65"/>
      <c r="D110" s="6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51" ht="15" customHeight="1">
      <c r="A111" s="2"/>
      <c r="B111" s="2"/>
      <c r="C111" s="2"/>
      <c r="D111" s="41">
        <f>'Т 9'!C21</f>
        <v>-53423.875</v>
      </c>
      <c r="E111" s="41">
        <f>'Т 9'!D21</f>
        <v>-53423.875</v>
      </c>
      <c r="F111" s="41">
        <f>'Т 9'!E21</f>
        <v>-111423.875</v>
      </c>
      <c r="G111" s="41">
        <f>'Т 9'!F21</f>
        <v>-111423.875</v>
      </c>
      <c r="H111" s="41">
        <f>'Т 9'!H21</f>
        <v>23084.520206144065</v>
      </c>
      <c r="I111" s="41">
        <f>'Т 9'!I21</f>
        <v>23107.491600918078</v>
      </c>
      <c r="J111" s="41">
        <f>'Т 9'!J21</f>
        <v>23130.462995692091</v>
      </c>
      <c r="K111" s="41">
        <f>'Т 9'!K21</f>
        <v>23153.4343904661</v>
      </c>
      <c r="L111" s="41">
        <f>'Т 9'!O21</f>
        <v>17686.577627627357</v>
      </c>
      <c r="M111" s="41">
        <f>'Т 9'!P21</f>
        <v>17709.54902240137</v>
      </c>
      <c r="N111" s="41">
        <f>'Т 9'!Q21</f>
        <v>17732.520417175379</v>
      </c>
      <c r="O111" s="41">
        <f>'Т 9'!R21</f>
        <v>17755.491811949392</v>
      </c>
      <c r="P111" s="41">
        <f>'Т 9'!T21</f>
        <v>17778.463206723405</v>
      </c>
      <c r="Q111" s="41">
        <f>'Т 9'!U21</f>
        <v>17801.434601497414</v>
      </c>
      <c r="R111" s="41">
        <f>'Т 9'!V21</f>
        <v>17824.405996271427</v>
      </c>
      <c r="S111" s="41">
        <f>'Т 9'!W21</f>
        <v>17847.37739104544</v>
      </c>
      <c r="T111" s="41">
        <f>'Т 9'!AA21</f>
        <v>17870.348785819449</v>
      </c>
      <c r="U111" s="41">
        <f>'Т 9'!AB21</f>
        <v>17893.320180593462</v>
      </c>
      <c r="V111" s="41">
        <f>'Т 9'!AC21</f>
        <v>17916.291575367475</v>
      </c>
      <c r="W111" s="41">
        <f>'Т 9'!AD21</f>
        <v>17939.262970141484</v>
      </c>
      <c r="X111" s="41">
        <f>'Т 9'!AF21</f>
        <v>17962.234364915497</v>
      </c>
      <c r="Y111" s="41">
        <f>'Т 9'!AG21</f>
        <v>17985.20575968951</v>
      </c>
      <c r="Z111" s="41">
        <f>'Т 9'!AH21</f>
        <v>18008.177154463519</v>
      </c>
      <c r="AA111" s="41">
        <f>'Т 9'!AI21</f>
        <v>18031.148549237532</v>
      </c>
      <c r="AB111" s="41">
        <f>'Т 9'!AM21</f>
        <v>18054.119944011542</v>
      </c>
      <c r="AC111" s="41">
        <f>'Т 9'!AN21</f>
        <v>18077.091338785554</v>
      </c>
      <c r="AD111" s="41">
        <f>'Т 9'!AO21</f>
        <v>18100.062733559564</v>
      </c>
      <c r="AE111" s="41">
        <f>'Т 9'!AP21</f>
        <v>18123.034128333577</v>
      </c>
      <c r="AF111" s="41">
        <f>'Т 9'!AR21</f>
        <v>18146.005523107589</v>
      </c>
      <c r="AG111" s="41">
        <f>'Т 9'!AS21</f>
        <v>18168.976917881599</v>
      </c>
      <c r="AH111" s="41">
        <f>'Т 9'!AT21</f>
        <v>18191.948312655612</v>
      </c>
      <c r="AI111" s="41">
        <f>'Т 9'!AU21</f>
        <v>18214.919707429624</v>
      </c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</row>
    <row r="112" spans="1:51" ht="15" customHeight="1">
      <c r="A112" s="2"/>
      <c r="B112" s="2"/>
      <c r="C112" s="2"/>
      <c r="D112" s="41">
        <f>'Т 9'!G21</f>
        <v>-329695.5</v>
      </c>
      <c r="E112" s="41">
        <f>'Т 9'!L21</f>
        <v>92475.90919322033</v>
      </c>
      <c r="F112" s="41">
        <f>'Т 9'!S21</f>
        <v>70884.138879153499</v>
      </c>
      <c r="G112" s="41">
        <f>'Т 9'!X21</f>
        <v>71251.681195537676</v>
      </c>
      <c r="H112" s="41">
        <f>'Т 9'!AE21</f>
        <v>71619.223511921868</v>
      </c>
      <c r="I112" s="41">
        <f>'Т 9'!AJ21</f>
        <v>71986.765828306059</v>
      </c>
      <c r="J112" s="41">
        <f>'Т 9'!AQ21</f>
        <v>72354.308144690236</v>
      </c>
      <c r="K112" s="41">
        <f>'Т 9'!AV21</f>
        <v>72721.850461074428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51" ht="15" customHeight="1">
      <c r="A113" s="2"/>
      <c r="B113" s="2"/>
      <c r="C113" s="66" t="s">
        <v>47</v>
      </c>
      <c r="D113" s="67">
        <f>IFERROR(IRR(D111),0)</f>
        <v>0</v>
      </c>
      <c r="E113" s="67">
        <f>IFERROR(IRR(D111:E111),0)</f>
        <v>0</v>
      </c>
      <c r="F113" s="67">
        <f>IFERROR(IRR(D111:F111),0)</f>
        <v>0</v>
      </c>
      <c r="G113" s="67">
        <f>IFERROR(IRR(D111:G111),0)</f>
        <v>0</v>
      </c>
      <c r="H113" s="67">
        <f>IFERROR(IRR(D111:H111),0)</f>
        <v>0</v>
      </c>
      <c r="I113" s="67">
        <f>IFERROR(IRR(D111:I111),0)</f>
        <v>0</v>
      </c>
      <c r="J113" s="67">
        <f>IFERROR(IRR(D111:J111),0)</f>
        <v>0</v>
      </c>
      <c r="K113" s="67">
        <f>IFERROR(IRR(D111:K111),0)</f>
        <v>0</v>
      </c>
      <c r="L113" s="67">
        <f>IFERROR(IRR(D111:L111),0)</f>
        <v>0</v>
      </c>
      <c r="M113" s="67">
        <f>IFERROR(IRR(D111:M111),0)</f>
        <v>0</v>
      </c>
      <c r="N113" s="67">
        <f>IFERROR(IRR(D111:N111),0)</f>
        <v>0</v>
      </c>
      <c r="O113" s="67">
        <f>IFERROR(IRR(D111:O111),0)</f>
        <v>0</v>
      </c>
      <c r="P113" s="67">
        <f>IFERROR(IRR(D111:P111),0)</f>
        <v>0</v>
      </c>
      <c r="Q113" s="67">
        <f>IFERROR(IRR(D111:Q111),0)</f>
        <v>0</v>
      </c>
      <c r="R113" s="67">
        <f>IFERROR(IRR(D111:R111),0)</f>
        <v>0</v>
      </c>
      <c r="S113" s="67">
        <f>IFERROR(IRR(D111:S111),0)</f>
        <v>-4.411501405944656E-2</v>
      </c>
      <c r="T113" s="67">
        <f>IFERROR(IRR(D111:T111),0)</f>
        <v>-3.2812815752272413E-2</v>
      </c>
      <c r="U113" s="67">
        <f>IFERROR(IRR(D111:U111),0)</f>
        <v>-2.320803477506005E-2</v>
      </c>
      <c r="V113" s="67">
        <f>IFERROR(IRR(D111:V111),0)</f>
        <v>-1.4981161737321893E-2</v>
      </c>
      <c r="W113" s="67">
        <f>IFERROR(IRR(D111:W111),0)</f>
        <v>-7.8844230132633936E-3</v>
      </c>
      <c r="X113" s="67">
        <f>IFERROR(IRR(D111:X111),0)</f>
        <v>-1.7233279233946196E-3</v>
      </c>
      <c r="Y113" s="67">
        <f>IFERROR(IRR(D111:Y111),0)</f>
        <v>3.6565088699611163E-3</v>
      </c>
      <c r="Z113" s="67">
        <f>IFERROR(IRR(D111:Z111),0)</f>
        <v>8.3789062443407215E-3</v>
      </c>
      <c r="AA113" s="67">
        <f>IFERROR(IRR(D111:AA111),0)</f>
        <v>1.254411336119389E-2</v>
      </c>
      <c r="AB113" s="67">
        <f>IFERROR(IRR(D111:AB111),0)</f>
        <v>1.6234006790046756E-2</v>
      </c>
      <c r="AC113" s="67">
        <f>IFERROR(IRR(D111:AC111),0)</f>
        <v>1.9515996975821515E-2</v>
      </c>
      <c r="AD113" s="67">
        <f>IFERROR(IRR(D111:AD111),0)</f>
        <v>2.2445997407975305E-2</v>
      </c>
      <c r="AE113" s="67">
        <f>IFERROR(IRR(D111:AE111),0)</f>
        <v>2.5070704959193696E-2</v>
      </c>
      <c r="AF113" s="67">
        <f>IFERROR(IRR(D111:AF111),0)</f>
        <v>2.7429368276131169E-2</v>
      </c>
      <c r="AG113" s="67">
        <f>IFERROR(IRR(D111:AG111),0)</f>
        <v>2.955517164093131E-2</v>
      </c>
      <c r="AH113" s="67">
        <f>IFERROR(IRR(D111:AH111),0)</f>
        <v>3.1476327127385635E-2</v>
      </c>
      <c r="AI113" s="67">
        <f>IFERROR(IRR(D111:AI111),0)</f>
        <v>3.3216943396133514E-2</v>
      </c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</row>
    <row r="114" spans="1:51" ht="15" customHeight="1">
      <c r="A114" s="2"/>
      <c r="B114" s="2"/>
      <c r="C114" s="68"/>
      <c r="D114" s="67">
        <f>IFERROR(IRR(D112),0)</f>
        <v>0</v>
      </c>
      <c r="E114" s="67">
        <f>IFERROR(IRR(D112:E112),0)</f>
        <v>0</v>
      </c>
      <c r="F114" s="67">
        <f>IFERROR(IRR(D112:F112),0)</f>
        <v>-0.37533086443517122</v>
      </c>
      <c r="G114" s="67">
        <f>IFERROR(IRR(D112:G112),0)</f>
        <v>-0.1586596359384512</v>
      </c>
      <c r="H114" s="67">
        <f>IFERROR(IRR(D112:H112),0)</f>
        <v>-3.006616937899742E-2</v>
      </c>
      <c r="I114" s="67">
        <f>IFERROR(IRR(D112:I112),0)</f>
        <v>4.948130912082286E-2</v>
      </c>
      <c r="J114" s="67">
        <f>IFERROR(IRR(D112:J112),0)</f>
        <v>0.10101550365227391</v>
      </c>
      <c r="K114" s="67">
        <f>IFERROR(IRR(D112:K112),0)</f>
        <v>0.13574187797663617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51" ht="15" customHeight="1">
      <c r="A115" s="2"/>
      <c r="B115" s="2"/>
      <c r="C115" s="274" t="s">
        <v>48</v>
      </c>
      <c r="D115" s="39">
        <f>IFERROR((SUM(D111)/(COUNT(D111)/4))/'Т 1'!$C$14,0)</f>
        <v>-0.64953039513677813</v>
      </c>
      <c r="E115" s="39">
        <f>IFERROR((SUM(D111:E111)/(COUNT(D111:E111)/4))/'Т 1'!$C$14,0)</f>
        <v>-0.64953039513677813</v>
      </c>
      <c r="F115" s="39">
        <f>IFERROR((SUM(D111:F111)/(COUNT(D111:F111)/4))/'Т 1'!$C$14,0)</f>
        <v>-0.88458611955420463</v>
      </c>
      <c r="G115" s="39">
        <f>IFERROR((SUM(D111:G111)/(COUNT(D111:G111)/4))/'Т 1'!$C$14,0)</f>
        <v>-1.0021139817629179</v>
      </c>
      <c r="H115" s="39">
        <f>IFERROR((SUM(D111:H111)/(COUNT(D111:H111)/4))/'Т 1'!$C$14,0)</f>
        <v>-0.74555861348050068</v>
      </c>
      <c r="I115" s="39">
        <f>IFERROR((SUM(D111:I111)/(COUNT(D111:I111)/4))/'Т 1'!$C$14,0)</f>
        <v>-0.57447515337981325</v>
      </c>
      <c r="J115" s="39">
        <f>IFERROR((SUM(D111:J111)/(COUNT(D111:J111)/4))/'Т 1'!$C$14,0)</f>
        <v>-0.45223278366868569</v>
      </c>
      <c r="K115" s="39">
        <f>IFERROR((SUM(D111:K111)/(COUNT(D111:K111)/4))/'Т 1'!$C$14,0)</f>
        <v>-0.36051609545103291</v>
      </c>
      <c r="L115" s="39">
        <f>IFERROR((SUM(D111:L111)/(COUNT(D111:L111)/4))/'Т 1'!$C$14,0)</f>
        <v>-0.29656604279520743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39">
        <f>SUM(D117:AI117)/(COUNT(D117:AI117)*'Т 1'!C14)</f>
        <v>0.15836170212765957</v>
      </c>
    </row>
    <row r="116" spans="1:51" ht="15" customHeight="1">
      <c r="A116" s="2"/>
      <c r="B116" s="2"/>
      <c r="C116" s="27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51" ht="15" customHeight="1">
      <c r="A117" s="2"/>
      <c r="B117" s="2"/>
      <c r="C117" s="2"/>
      <c r="D117" s="39">
        <f>'Т 9'!C6</f>
        <v>0</v>
      </c>
      <c r="E117" s="39">
        <f>'Т 9'!D6</f>
        <v>0</v>
      </c>
      <c r="F117" s="39">
        <f>'Т 9'!E6</f>
        <v>0</v>
      </c>
      <c r="G117" s="39">
        <f>'Т 9'!F6</f>
        <v>0</v>
      </c>
      <c r="H117" s="39">
        <f>'Т 9'!H6</f>
        <v>59544</v>
      </c>
      <c r="I117" s="39">
        <f>'Т 9'!I6</f>
        <v>59544</v>
      </c>
      <c r="J117" s="39">
        <f>'Т 9'!J6</f>
        <v>59544</v>
      </c>
      <c r="K117" s="39">
        <f>'Т 9'!K6</f>
        <v>59544</v>
      </c>
      <c r="L117" s="39">
        <f>'Т 9'!O6</f>
        <v>59544</v>
      </c>
      <c r="M117" s="39">
        <f>'Т 9'!P6</f>
        <v>59544</v>
      </c>
      <c r="N117" s="39">
        <f>'Т 9'!Q6</f>
        <v>59544</v>
      </c>
      <c r="O117" s="39">
        <f>'Т 9'!R6</f>
        <v>59544</v>
      </c>
      <c r="P117" s="39">
        <f>'Т 9'!T6</f>
        <v>59544</v>
      </c>
      <c r="Q117" s="39">
        <f>'Т 9'!U6</f>
        <v>59544</v>
      </c>
      <c r="R117" s="39">
        <f>'Т 9'!V6</f>
        <v>59544</v>
      </c>
      <c r="S117" s="39">
        <f>'Т 9'!W6</f>
        <v>59544</v>
      </c>
      <c r="T117" s="39">
        <f>'Т 9'!AA6</f>
        <v>59544</v>
      </c>
      <c r="U117" s="39">
        <f>'Т 9'!AB6</f>
        <v>59544</v>
      </c>
      <c r="V117" s="39">
        <f>'Т 9'!AC6</f>
        <v>59544</v>
      </c>
      <c r="W117" s="39">
        <f>'Т 9'!AD6</f>
        <v>59544</v>
      </c>
      <c r="X117" s="39">
        <f>'Т 9'!AF6</f>
        <v>59544</v>
      </c>
      <c r="Y117" s="39">
        <f>'Т 9'!AG6</f>
        <v>59544</v>
      </c>
      <c r="Z117" s="39">
        <f>'Т 9'!AH6</f>
        <v>59544</v>
      </c>
      <c r="AA117" s="39">
        <f>'Т 9'!AI6</f>
        <v>59544</v>
      </c>
      <c r="AB117" s="39">
        <f>'Т 9'!AM6</f>
        <v>59544</v>
      </c>
      <c r="AC117" s="39">
        <f>'Т 9'!AN6</f>
        <v>59544</v>
      </c>
      <c r="AD117" s="39">
        <f>'Т 9'!AO6</f>
        <v>59544</v>
      </c>
      <c r="AE117" s="39">
        <f>'Т 9'!AP6</f>
        <v>59544</v>
      </c>
      <c r="AF117" s="39">
        <f>'Т 9'!AR6</f>
        <v>59544</v>
      </c>
      <c r="AG117" s="39">
        <f>'Т 9'!AS6</f>
        <v>59544</v>
      </c>
      <c r="AH117" s="39">
        <f>'Т 9'!AT6</f>
        <v>59544</v>
      </c>
      <c r="AI117" s="39">
        <f>'Т 9'!AU6</f>
        <v>59544</v>
      </c>
    </row>
    <row r="118" spans="1:51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51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51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51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51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51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51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51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51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51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51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</sheetData>
  <mergeCells count="6">
    <mergeCell ref="C115:C116"/>
    <mergeCell ref="A14:G14"/>
    <mergeCell ref="A18:G18"/>
    <mergeCell ref="A9:C9"/>
    <mergeCell ref="A4:G4"/>
    <mergeCell ref="A5:C5"/>
  </mergeCells>
  <pageMargins left="0.75" right="0.75" top="1" bottom="1" header="0.5" footer="0.5"/>
  <pageSetup orientation="portrait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6"/>
  <sheetViews>
    <sheetView showGridLines="0" topLeftCell="AD1" workbookViewId="0">
      <selection activeCell="AK3" sqref="AK3:AV20"/>
    </sheetView>
  </sheetViews>
  <sheetFormatPr defaultColWidth="9.109375" defaultRowHeight="11.4" customHeight="1"/>
  <cols>
    <col min="1" max="1" width="4.5546875" style="200" customWidth="1"/>
    <col min="2" max="2" width="26.5546875" style="200" customWidth="1"/>
    <col min="3" max="9" width="9.44140625" style="200" customWidth="1"/>
    <col min="10" max="11" width="10.44140625" style="200" customWidth="1"/>
    <col min="12" max="12" width="10.109375" style="200" customWidth="1"/>
    <col min="13" max="13" width="4.5546875" style="200" customWidth="1"/>
    <col min="14" max="14" width="26.5546875" style="200" customWidth="1"/>
    <col min="15" max="17" width="10.109375" style="200" customWidth="1"/>
    <col min="18" max="18" width="10.88671875" style="200" customWidth="1"/>
    <col min="19" max="19" width="10.109375" style="200" customWidth="1"/>
    <col min="20" max="22" width="9.109375" style="200" customWidth="1"/>
    <col min="23" max="23" width="10.88671875" style="200" customWidth="1"/>
    <col min="24" max="24" width="10.109375" style="200" customWidth="1"/>
    <col min="25" max="25" width="4.5546875" style="200" customWidth="1"/>
    <col min="26" max="26" width="26.5546875" style="200" customWidth="1"/>
    <col min="27" max="30" width="9.109375" style="200" customWidth="1"/>
    <col min="31" max="31" width="10.109375" style="200" customWidth="1"/>
    <col min="32" max="35" width="9.109375" style="200" customWidth="1"/>
    <col min="36" max="36" width="10.109375" style="200" customWidth="1"/>
    <col min="37" max="37" width="4.5546875" style="200" customWidth="1"/>
    <col min="38" max="38" width="26.5546875" style="200" customWidth="1"/>
    <col min="39" max="42" width="9.109375" style="200" customWidth="1"/>
    <col min="43" max="43" width="10.109375" style="200" customWidth="1"/>
    <col min="44" max="47" width="9.109375" style="200" customWidth="1"/>
    <col min="48" max="48" width="10.109375" style="200" customWidth="1"/>
    <col min="49" max="256" width="9.109375" style="200" customWidth="1"/>
  </cols>
  <sheetData>
    <row r="1" spans="1:48" ht="12.6" customHeight="1">
      <c r="A1" s="324" t="s">
        <v>247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24" t="s">
        <v>248</v>
      </c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24" t="s">
        <v>249</v>
      </c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24" t="s">
        <v>249</v>
      </c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</row>
    <row r="2" spans="1:48" ht="12.6" customHeight="1">
      <c r="A2" s="326" t="s">
        <v>250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</row>
    <row r="3" spans="1:48" ht="12.75" customHeight="1">
      <c r="A3" s="316" t="s">
        <v>53</v>
      </c>
      <c r="B3" s="316" t="s">
        <v>104</v>
      </c>
      <c r="C3" s="318" t="str">
        <f>'Исходные данные'!$B$26+G21&amp;" год"</f>
        <v>2021 год</v>
      </c>
      <c r="D3" s="319"/>
      <c r="E3" s="319"/>
      <c r="F3" s="319"/>
      <c r="G3" s="320"/>
      <c r="H3" s="318" t="str">
        <f>'Исходные данные'!$B$26+L21&amp;" год"</f>
        <v>2022 год</v>
      </c>
      <c r="I3" s="319"/>
      <c r="J3" s="319"/>
      <c r="K3" s="319"/>
      <c r="L3" s="320"/>
      <c r="M3" s="316" t="s">
        <v>53</v>
      </c>
      <c r="N3" s="316" t="s">
        <v>104</v>
      </c>
      <c r="O3" s="318" t="str">
        <f>'Исходные данные'!$B$26+S21&amp;" год"</f>
        <v>2023 год</v>
      </c>
      <c r="P3" s="319"/>
      <c r="Q3" s="319"/>
      <c r="R3" s="319"/>
      <c r="S3" s="320"/>
      <c r="T3" s="318" t="str">
        <f>'Исходные данные'!$B$26+X21&amp;" год"</f>
        <v>2024 год</v>
      </c>
      <c r="U3" s="319"/>
      <c r="V3" s="319"/>
      <c r="W3" s="319"/>
      <c r="X3" s="320"/>
      <c r="Y3" s="316" t="s">
        <v>53</v>
      </c>
      <c r="Z3" s="316" t="s">
        <v>104</v>
      </c>
      <c r="AA3" s="318" t="str">
        <f>'Исходные данные'!$B$26+AE21&amp;" год"</f>
        <v>2025 год</v>
      </c>
      <c r="AB3" s="319"/>
      <c r="AC3" s="319"/>
      <c r="AD3" s="319"/>
      <c r="AE3" s="320"/>
      <c r="AF3" s="318" t="str">
        <f>'Исходные данные'!$B$26+AJ21&amp;" год"</f>
        <v>2026 год</v>
      </c>
      <c r="AG3" s="319"/>
      <c r="AH3" s="319"/>
      <c r="AI3" s="319"/>
      <c r="AJ3" s="320"/>
      <c r="AK3" s="316" t="s">
        <v>53</v>
      </c>
      <c r="AL3" s="316" t="s">
        <v>104</v>
      </c>
      <c r="AM3" s="318" t="str">
        <f>'Исходные данные'!$B$26+AQ21&amp;" год"</f>
        <v>2027 год</v>
      </c>
      <c r="AN3" s="319"/>
      <c r="AO3" s="319"/>
      <c r="AP3" s="319"/>
      <c r="AQ3" s="320"/>
      <c r="AR3" s="318" t="str">
        <f>'Исходные данные'!$B$26+AV21&amp;" год"</f>
        <v>2028 год</v>
      </c>
      <c r="AS3" s="319"/>
      <c r="AT3" s="319"/>
      <c r="AU3" s="319"/>
      <c r="AV3" s="320"/>
    </row>
    <row r="4" spans="1:48" ht="12.6" customHeight="1">
      <c r="A4" s="317"/>
      <c r="B4" s="317"/>
      <c r="C4" s="127" t="s">
        <v>58</v>
      </c>
      <c r="D4" s="127" t="s">
        <v>59</v>
      </c>
      <c r="E4" s="127" t="s">
        <v>60</v>
      </c>
      <c r="F4" s="127" t="s">
        <v>61</v>
      </c>
      <c r="G4" s="127" t="s">
        <v>62</v>
      </c>
      <c r="H4" s="127" t="s">
        <v>58</v>
      </c>
      <c r="I4" s="127" t="s">
        <v>59</v>
      </c>
      <c r="J4" s="127" t="s">
        <v>60</v>
      </c>
      <c r="K4" s="127" t="s">
        <v>61</v>
      </c>
      <c r="L4" s="127" t="s">
        <v>62</v>
      </c>
      <c r="M4" s="317"/>
      <c r="N4" s="317"/>
      <c r="O4" s="127" t="s">
        <v>58</v>
      </c>
      <c r="P4" s="127" t="s">
        <v>59</v>
      </c>
      <c r="Q4" s="127" t="s">
        <v>60</v>
      </c>
      <c r="R4" s="127" t="s">
        <v>61</v>
      </c>
      <c r="S4" s="127" t="s">
        <v>62</v>
      </c>
      <c r="T4" s="127" t="s">
        <v>58</v>
      </c>
      <c r="U4" s="127" t="s">
        <v>59</v>
      </c>
      <c r="V4" s="127" t="s">
        <v>60</v>
      </c>
      <c r="W4" s="127" t="s">
        <v>61</v>
      </c>
      <c r="X4" s="127" t="s">
        <v>62</v>
      </c>
      <c r="Y4" s="317"/>
      <c r="Z4" s="317"/>
      <c r="AA4" s="127" t="s">
        <v>58</v>
      </c>
      <c r="AB4" s="127" t="s">
        <v>59</v>
      </c>
      <c r="AC4" s="127" t="s">
        <v>60</v>
      </c>
      <c r="AD4" s="127" t="s">
        <v>61</v>
      </c>
      <c r="AE4" s="127" t="s">
        <v>62</v>
      </c>
      <c r="AF4" s="127" t="s">
        <v>58</v>
      </c>
      <c r="AG4" s="127" t="s">
        <v>59</v>
      </c>
      <c r="AH4" s="127" t="s">
        <v>60</v>
      </c>
      <c r="AI4" s="127" t="s">
        <v>61</v>
      </c>
      <c r="AJ4" s="127" t="s">
        <v>62</v>
      </c>
      <c r="AK4" s="317"/>
      <c r="AL4" s="317"/>
      <c r="AM4" s="127" t="s">
        <v>58</v>
      </c>
      <c r="AN4" s="127" t="s">
        <v>59</v>
      </c>
      <c r="AO4" s="127" t="s">
        <v>60</v>
      </c>
      <c r="AP4" s="127" t="s">
        <v>61</v>
      </c>
      <c r="AQ4" s="127" t="s">
        <v>62</v>
      </c>
      <c r="AR4" s="127" t="s">
        <v>58</v>
      </c>
      <c r="AS4" s="127" t="s">
        <v>59</v>
      </c>
      <c r="AT4" s="127" t="s">
        <v>60</v>
      </c>
      <c r="AU4" s="127" t="s">
        <v>61</v>
      </c>
      <c r="AV4" s="127" t="s">
        <v>62</v>
      </c>
    </row>
    <row r="5" spans="1:48" ht="12.6" customHeight="1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  <c r="M5" s="128">
        <v>1</v>
      </c>
      <c r="N5" s="128">
        <v>2</v>
      </c>
      <c r="O5" s="128">
        <f>L5+1</f>
        <v>13</v>
      </c>
      <c r="P5" s="128">
        <f t="shared" ref="P5:X5" si="0">O5+1</f>
        <v>14</v>
      </c>
      <c r="Q5" s="128">
        <f t="shared" si="0"/>
        <v>15</v>
      </c>
      <c r="R5" s="128">
        <f t="shared" si="0"/>
        <v>16</v>
      </c>
      <c r="S5" s="128">
        <f t="shared" si="0"/>
        <v>17</v>
      </c>
      <c r="T5" s="128">
        <f t="shared" si="0"/>
        <v>18</v>
      </c>
      <c r="U5" s="128">
        <f t="shared" si="0"/>
        <v>19</v>
      </c>
      <c r="V5" s="128">
        <f t="shared" si="0"/>
        <v>20</v>
      </c>
      <c r="W5" s="128">
        <f t="shared" si="0"/>
        <v>21</v>
      </c>
      <c r="X5" s="128">
        <f t="shared" si="0"/>
        <v>22</v>
      </c>
      <c r="Y5" s="128">
        <v>1</v>
      </c>
      <c r="Z5" s="128">
        <f t="shared" ref="Z5:Z20" si="1">N5</f>
        <v>2</v>
      </c>
      <c r="AA5" s="128">
        <f>X5+1</f>
        <v>23</v>
      </c>
      <c r="AB5" s="128">
        <f t="shared" ref="AB5:AJ5" si="2">AA5+1</f>
        <v>24</v>
      </c>
      <c r="AC5" s="128">
        <f t="shared" si="2"/>
        <v>25</v>
      </c>
      <c r="AD5" s="128">
        <f t="shared" si="2"/>
        <v>26</v>
      </c>
      <c r="AE5" s="128">
        <f t="shared" si="2"/>
        <v>27</v>
      </c>
      <c r="AF5" s="128">
        <f t="shared" si="2"/>
        <v>28</v>
      </c>
      <c r="AG5" s="128">
        <f t="shared" si="2"/>
        <v>29</v>
      </c>
      <c r="AH5" s="128">
        <f t="shared" si="2"/>
        <v>30</v>
      </c>
      <c r="AI5" s="128">
        <f t="shared" si="2"/>
        <v>31</v>
      </c>
      <c r="AJ5" s="128">
        <f t="shared" si="2"/>
        <v>32</v>
      </c>
      <c r="AK5" s="128">
        <v>1</v>
      </c>
      <c r="AL5" s="128">
        <f t="shared" ref="AL5:AL20" si="3">Z5</f>
        <v>2</v>
      </c>
      <c r="AM5" s="128">
        <f>AJ5+1</f>
        <v>33</v>
      </c>
      <c r="AN5" s="128">
        <f t="shared" ref="AN5:AV5" si="4">AM5+1</f>
        <v>34</v>
      </c>
      <c r="AO5" s="128">
        <f t="shared" si="4"/>
        <v>35</v>
      </c>
      <c r="AP5" s="128">
        <f t="shared" si="4"/>
        <v>36</v>
      </c>
      <c r="AQ5" s="128">
        <f t="shared" si="4"/>
        <v>37</v>
      </c>
      <c r="AR5" s="128">
        <f t="shared" si="4"/>
        <v>38</v>
      </c>
      <c r="AS5" s="128">
        <f t="shared" si="4"/>
        <v>39</v>
      </c>
      <c r="AT5" s="128">
        <f t="shared" si="4"/>
        <v>40</v>
      </c>
      <c r="AU5" s="128">
        <f t="shared" si="4"/>
        <v>41</v>
      </c>
      <c r="AV5" s="128">
        <f t="shared" si="4"/>
        <v>42</v>
      </c>
    </row>
    <row r="6" spans="1:48" ht="12.6" customHeight="1">
      <c r="A6" s="337" t="s">
        <v>63</v>
      </c>
      <c r="B6" s="130" t="s">
        <v>251</v>
      </c>
      <c r="C6" s="132">
        <f>IF((C7-C8-C9)&lt;0,0,C7-C8-C9)</f>
        <v>0</v>
      </c>
      <c r="D6" s="132">
        <f>IF((D7-D8-D9)&lt;0,0,D7-D8-D9)</f>
        <v>0</v>
      </c>
      <c r="E6" s="132">
        <f>IF((E7-E8-E9)&lt;0,0,E7-E8-E9)</f>
        <v>0</v>
      </c>
      <c r="F6" s="132">
        <f>IF((F7-F8-F9)&lt;0,0,F7-F8-F9)</f>
        <v>0</v>
      </c>
      <c r="G6" s="141">
        <f t="shared" ref="G6:G15" si="5">C6+D6+E6+F6</f>
        <v>0</v>
      </c>
      <c r="H6" s="132">
        <f>IF((H7-H8-H9)&lt;0,0,H7-H8-H9)</f>
        <v>0</v>
      </c>
      <c r="I6" s="132">
        <f>IF((I7-I8-I9)&lt;0,0,I7-I8-I9)</f>
        <v>0</v>
      </c>
      <c r="J6" s="132">
        <f>IF((J7-J8-J9)&lt;0,0,J7-J8-J9)</f>
        <v>0</v>
      </c>
      <c r="K6" s="132">
        <f>IF((K7-K8-K9)&lt;0,0,K7-K8-K9)</f>
        <v>0</v>
      </c>
      <c r="L6" s="141">
        <f t="shared" ref="L6:L15" si="6">H6+I6+J6+K6</f>
        <v>0</v>
      </c>
      <c r="M6" s="337" t="str">
        <f>A6</f>
        <v>1.</v>
      </c>
      <c r="N6" s="130" t="str">
        <f>B6</f>
        <v>НДС</v>
      </c>
      <c r="O6" s="132">
        <f>IF((O7-O8-O9)&lt;0,0,O7-O8-O9)</f>
        <v>5489.8281576127538</v>
      </c>
      <c r="P6" s="132">
        <f>IF((P7-P8-P9)&lt;0,0,P7-P8-P9)</f>
        <v>5489.8281576127538</v>
      </c>
      <c r="Q6" s="132">
        <f>IF((Q7-Q8-Q9)&lt;0,0,Q7-Q8-Q9)</f>
        <v>5489.8281576127538</v>
      </c>
      <c r="R6" s="132">
        <f>IF((R7-R8-R9)&lt;0,0,R7-R8-R9)</f>
        <v>5489.8281576127538</v>
      </c>
      <c r="S6" s="141">
        <f t="shared" ref="S6:S15" si="7">O6+P6+Q6+R6</f>
        <v>21959.312630451015</v>
      </c>
      <c r="T6" s="132">
        <f>IF((T7-T8-T9)&lt;0,0,T7-T8-T9)</f>
        <v>5489.8281576127538</v>
      </c>
      <c r="U6" s="132">
        <f>IF((U7-U8-U9)&lt;0,0,U7-U8-U9)</f>
        <v>5489.8281576127538</v>
      </c>
      <c r="V6" s="132">
        <f>IF((V7-V8-V9)&lt;0,0,V7-V8-V9)</f>
        <v>5489.8281576127538</v>
      </c>
      <c r="W6" s="132">
        <f>IF((W7-W8-W9)&lt;0,0,W7-W8-W9)</f>
        <v>5489.8281576127538</v>
      </c>
      <c r="X6" s="141">
        <f t="shared" ref="X6:X15" si="8">T6+U6+V6+W6</f>
        <v>21959.312630451015</v>
      </c>
      <c r="Y6" s="337" t="str">
        <f>M6</f>
        <v>1.</v>
      </c>
      <c r="Z6" s="130" t="str">
        <f t="shared" si="1"/>
        <v>НДС</v>
      </c>
      <c r="AA6" s="132">
        <f>IF((AA7-AA8-AA9)&lt;0,0,AA7-AA8-AA9)</f>
        <v>5489.8281576127538</v>
      </c>
      <c r="AB6" s="132">
        <f>IF((AB7-AB8-AB9)&lt;0,0,AB7-AB8-AB9)</f>
        <v>5489.8281576127538</v>
      </c>
      <c r="AC6" s="132">
        <f>IF((AC7-AC8-AC9)&lt;0,0,AC7-AC8-AC9)</f>
        <v>5489.8281576127538</v>
      </c>
      <c r="AD6" s="132">
        <f>IF((AD7-AD8-AD9)&lt;0,0,AD7-AD8-AD9)</f>
        <v>5489.8281576127538</v>
      </c>
      <c r="AE6" s="141">
        <f t="shared" ref="AE6:AE15" si="9">AA6+AB6+AC6+AD6</f>
        <v>21959.312630451015</v>
      </c>
      <c r="AF6" s="132">
        <f>IF((AF7-AF8-AF9)&lt;0,0,AF7-AF8-AF9)</f>
        <v>5489.8281576127538</v>
      </c>
      <c r="AG6" s="132">
        <f>IF((AG7-AG8-AG9)&lt;0,0,AG7-AG8-AG9)</f>
        <v>5489.8281576127538</v>
      </c>
      <c r="AH6" s="132">
        <f>IF((AH7-AH8-AH9)&lt;0,0,AH7-AH8-AH9)</f>
        <v>5489.8281576127538</v>
      </c>
      <c r="AI6" s="132">
        <f>IF((AI7-AI8-AI9)&lt;0,0,AI7-AI8-AI9)</f>
        <v>5489.8281576127538</v>
      </c>
      <c r="AJ6" s="141">
        <f t="shared" ref="AJ6:AJ15" si="10">AF6+AG6+AH6+AI6</f>
        <v>21959.312630451015</v>
      </c>
      <c r="AK6" s="337" t="str">
        <f>Y6</f>
        <v>1.</v>
      </c>
      <c r="AL6" s="130" t="str">
        <f t="shared" si="3"/>
        <v>НДС</v>
      </c>
      <c r="AM6" s="132">
        <f>IF((AM7-AM8-AM9)&lt;0,0,AM7-AM8-AM9)</f>
        <v>5489.8281576127538</v>
      </c>
      <c r="AN6" s="132">
        <f>IF((AN7-AN8-AN9)&lt;0,0,AN7-AN8-AN9)</f>
        <v>5489.8281576127538</v>
      </c>
      <c r="AO6" s="132">
        <f>IF((AO7-AO8-AO9)&lt;0,0,AO7-AO8-AO9)</f>
        <v>5489.8281576127538</v>
      </c>
      <c r="AP6" s="132">
        <f>IF((AP7-AP8-AP9)&lt;0,0,AP7-AP8-AP9)</f>
        <v>5489.8281576127538</v>
      </c>
      <c r="AQ6" s="141">
        <f t="shared" ref="AQ6:AQ15" si="11">AM6+AN6+AO6+AP6</f>
        <v>21959.312630451015</v>
      </c>
      <c r="AR6" s="132">
        <f>IF((AR7-AR8-AR9)&lt;0,0,AR7-AR8-AR9)</f>
        <v>5489.8281576127538</v>
      </c>
      <c r="AS6" s="132">
        <f>IF((AS7-AS8-AS9)&lt;0,0,AS7-AS8-AS9)</f>
        <v>5489.8281576127538</v>
      </c>
      <c r="AT6" s="132">
        <f>IF((AT7-AT8-AT9)&lt;0,0,AT7-AT8-AT9)</f>
        <v>5489.8281576127538</v>
      </c>
      <c r="AU6" s="132">
        <f>IF((AU7-AU8-AU9)&lt;0,0,AU7-AU8-AU9)</f>
        <v>5489.8281576127538</v>
      </c>
      <c r="AV6" s="141">
        <f t="shared" ref="AV6:AV15" si="12">AR6+AS6+AT6+AU6</f>
        <v>21959.312630451015</v>
      </c>
    </row>
    <row r="7" spans="1:48" ht="12.6" customHeight="1">
      <c r="A7" s="340"/>
      <c r="B7" s="137" t="s">
        <v>252</v>
      </c>
      <c r="C7" s="132">
        <f>'Т 3'!D57</f>
        <v>0</v>
      </c>
      <c r="D7" s="132">
        <f>'Т 3'!E57</f>
        <v>0</v>
      </c>
      <c r="E7" s="132">
        <f>'Т 3'!F57</f>
        <v>0</v>
      </c>
      <c r="F7" s="132">
        <f>'Т 3'!G57</f>
        <v>0</v>
      </c>
      <c r="G7" s="132">
        <f t="shared" si="5"/>
        <v>0</v>
      </c>
      <c r="H7" s="132">
        <f>'Т 3'!I57</f>
        <v>9924</v>
      </c>
      <c r="I7" s="132">
        <f>'Т 3'!J57</f>
        <v>9924</v>
      </c>
      <c r="J7" s="132">
        <f>'Т 3'!K57</f>
        <v>9924</v>
      </c>
      <c r="K7" s="132">
        <f>'Т 3'!L57</f>
        <v>9924</v>
      </c>
      <c r="L7" s="132">
        <f t="shared" si="6"/>
        <v>39696</v>
      </c>
      <c r="M7" s="340"/>
      <c r="N7" s="137" t="str">
        <f t="shared" ref="N7:N20" si="13">B7</f>
        <v xml:space="preserve">   от реализации продукции</v>
      </c>
      <c r="O7" s="132">
        <f>'Т 3'!Q57</f>
        <v>9082.983050847457</v>
      </c>
      <c r="P7" s="132">
        <f>'Т 3'!R57</f>
        <v>9082.983050847457</v>
      </c>
      <c r="Q7" s="132">
        <f>'Т 3'!S57</f>
        <v>9082.983050847457</v>
      </c>
      <c r="R7" s="132">
        <f>'Т 3'!T57</f>
        <v>9082.983050847457</v>
      </c>
      <c r="S7" s="132">
        <f t="shared" si="7"/>
        <v>36331.932203389828</v>
      </c>
      <c r="T7" s="132">
        <f>'Т 3'!V57</f>
        <v>9082.983050847457</v>
      </c>
      <c r="U7" s="132">
        <f>'Т 3'!W57</f>
        <v>9082.983050847457</v>
      </c>
      <c r="V7" s="132">
        <f>'Т 3'!X57</f>
        <v>9082.983050847457</v>
      </c>
      <c r="W7" s="132">
        <f>'Т 3'!Y57</f>
        <v>9082.983050847457</v>
      </c>
      <c r="X7" s="132">
        <f t="shared" si="8"/>
        <v>36331.932203389828</v>
      </c>
      <c r="Y7" s="340"/>
      <c r="Z7" s="137" t="str">
        <f t="shared" si="1"/>
        <v xml:space="preserve">   от реализации продукции</v>
      </c>
      <c r="AA7" s="132">
        <f>'Т 3'!AD57</f>
        <v>9082.983050847457</v>
      </c>
      <c r="AB7" s="132">
        <f>'Т 3'!AE57</f>
        <v>9082.983050847457</v>
      </c>
      <c r="AC7" s="132">
        <f>'Т 3'!AF57</f>
        <v>9082.983050847457</v>
      </c>
      <c r="AD7" s="132">
        <f>'Т 3'!AG57</f>
        <v>9082.983050847457</v>
      </c>
      <c r="AE7" s="132">
        <f t="shared" si="9"/>
        <v>36331.932203389828</v>
      </c>
      <c r="AF7" s="132">
        <f>'Т 3'!AI57</f>
        <v>9082.983050847457</v>
      </c>
      <c r="AG7" s="132">
        <f>'Т 3'!AJ57</f>
        <v>9082.983050847457</v>
      </c>
      <c r="AH7" s="132">
        <f>'Т 3'!AK57</f>
        <v>9082.983050847457</v>
      </c>
      <c r="AI7" s="132">
        <f>'Т 3'!AL57</f>
        <v>9082.983050847457</v>
      </c>
      <c r="AJ7" s="132">
        <f t="shared" si="10"/>
        <v>36331.932203389828</v>
      </c>
      <c r="AK7" s="340"/>
      <c r="AL7" s="137" t="str">
        <f t="shared" si="3"/>
        <v xml:space="preserve">   от реализации продукции</v>
      </c>
      <c r="AM7" s="132">
        <f>'Т 3'!AQ57</f>
        <v>9082.983050847457</v>
      </c>
      <c r="AN7" s="132">
        <f>'Т 3'!AR57</f>
        <v>9082.983050847457</v>
      </c>
      <c r="AO7" s="132">
        <f>'Т 3'!AS57</f>
        <v>9082.983050847457</v>
      </c>
      <c r="AP7" s="132">
        <f>'Т 3'!AT57</f>
        <v>9082.983050847457</v>
      </c>
      <c r="AQ7" s="132">
        <f t="shared" si="11"/>
        <v>36331.932203389828</v>
      </c>
      <c r="AR7" s="132">
        <f>'Т 3'!AV57</f>
        <v>9082.983050847457</v>
      </c>
      <c r="AS7" s="132">
        <f>'Т 3'!AW57</f>
        <v>9082.983050847457</v>
      </c>
      <c r="AT7" s="132">
        <f>'Т 3'!AX57</f>
        <v>9082.983050847457</v>
      </c>
      <c r="AU7" s="132">
        <f>'Т 3'!AY57</f>
        <v>9082.983050847457</v>
      </c>
      <c r="AV7" s="132">
        <f t="shared" si="12"/>
        <v>36331.932203389828</v>
      </c>
    </row>
    <row r="8" spans="1:48" ht="12.6" customHeight="1">
      <c r="A8" s="340"/>
      <c r="B8" s="137" t="s">
        <v>253</v>
      </c>
      <c r="C8" s="132">
        <f>('Т 6'!C30-'Т 4'!C10-'Т 7'!D11-'Т 6'!C25)/118*18</f>
        <v>0</v>
      </c>
      <c r="D8" s="132">
        <f>('Т 6'!D30-'Т 4'!D10-'Т 7'!E11-'Т 6'!D25)/118*18</f>
        <v>0</v>
      </c>
      <c r="E8" s="132">
        <f>('Т 6'!E30-'Т 4'!E10-'Т 7'!F11-'Т 6'!E25)/118*18</f>
        <v>0</v>
      </c>
      <c r="F8" s="132">
        <f>('Т 6'!F30-'Т 4'!F10-'Т 7'!G11-'Т 6'!F25)/118*18</f>
        <v>0</v>
      </c>
      <c r="G8" s="132">
        <f t="shared" si="5"/>
        <v>0</v>
      </c>
      <c r="H8" s="132">
        <f>('Т 6'!H30-'Т 4'!H10-'Т 7'!I11-'Т 6'!H25)/118*18</f>
        <v>3593.1548932347027</v>
      </c>
      <c r="I8" s="132">
        <f>('Т 6'!I30-'Т 4'!I10-'Т 7'!J11-'Т 6'!I25)/118*18</f>
        <v>3593.1548932347027</v>
      </c>
      <c r="J8" s="132">
        <f>('Т 6'!J30-'Т 4'!J10-'Т 7'!K11-'Т 6'!J25)/118*18</f>
        <v>3593.1548932347027</v>
      </c>
      <c r="K8" s="132">
        <f>('Т 6'!K30-'Т 4'!K10-'Т 7'!L11-'Т 6'!K25)/118*18</f>
        <v>3593.1548932347027</v>
      </c>
      <c r="L8" s="132">
        <f t="shared" si="6"/>
        <v>14372.619572938811</v>
      </c>
      <c r="M8" s="340"/>
      <c r="N8" s="137" t="str">
        <f t="shared" si="13"/>
        <v xml:space="preserve">   уплаченный из затрат</v>
      </c>
      <c r="O8" s="132">
        <f>('Т 6'!O30-'Т 4'!O10-'Т 7'!Q11-'Т 6'!O25)/118*18</f>
        <v>3593.1548932347027</v>
      </c>
      <c r="P8" s="132">
        <f>('Т 6'!P30-'Т 4'!P10-'Т 7'!R11-'Т 6'!P25)/118*18</f>
        <v>3593.1548932347027</v>
      </c>
      <c r="Q8" s="132">
        <f>('Т 6'!Q30-'Т 4'!Q10-'Т 7'!S11-'Т 6'!Q25)/118*18</f>
        <v>3593.1548932347027</v>
      </c>
      <c r="R8" s="132">
        <f>('Т 6'!R30-'Т 4'!R10-'Т 7'!T11-'Т 6'!R25)/118*18</f>
        <v>3593.1548932347027</v>
      </c>
      <c r="S8" s="132">
        <f t="shared" si="7"/>
        <v>14372.619572938811</v>
      </c>
      <c r="T8" s="132">
        <f>('Т 6'!T30-'Т 4'!T10-'Т 7'!V11-'Т 6'!T25)/118*18</f>
        <v>3593.1548932347027</v>
      </c>
      <c r="U8" s="132">
        <f>('Т 6'!U30-'Т 4'!U10-'Т 7'!W11-'Т 6'!U25)/118*18</f>
        <v>3593.1548932347027</v>
      </c>
      <c r="V8" s="132">
        <f>('Т 6'!V30-'Т 4'!V10-'Т 7'!X11-'Т 6'!V25)/118*18</f>
        <v>3593.1548932347027</v>
      </c>
      <c r="W8" s="132">
        <f>('Т 6'!W30-'Т 4'!W10-'Т 7'!Y11-'Т 6'!W25)/118*18</f>
        <v>3593.1548932347027</v>
      </c>
      <c r="X8" s="132">
        <f t="shared" si="8"/>
        <v>14372.619572938811</v>
      </c>
      <c r="Y8" s="340"/>
      <c r="Z8" s="137" t="str">
        <f t="shared" si="1"/>
        <v xml:space="preserve">   уплаченный из затрат</v>
      </c>
      <c r="AA8" s="132">
        <f>('Т 6'!AA30-'Т 4'!AA10-'Т 7'!AD11-'Т 6'!AA25)/118*18</f>
        <v>3593.1548932347027</v>
      </c>
      <c r="AB8" s="132">
        <f>('Т 6'!AB30-'Т 4'!AB10-'Т 7'!AE11-'Т 6'!AB25)/118*18</f>
        <v>3593.1548932347027</v>
      </c>
      <c r="AC8" s="132">
        <f>('Т 6'!AC30-'Т 4'!AC10-'Т 7'!AF11-'Т 6'!AC25)/118*18</f>
        <v>3593.1548932347027</v>
      </c>
      <c r="AD8" s="132">
        <f>('Т 6'!AD30-'Т 4'!AD10-'Т 7'!AG11-'Т 6'!AD25)/118*18</f>
        <v>3593.1548932347027</v>
      </c>
      <c r="AE8" s="132">
        <f t="shared" si="9"/>
        <v>14372.619572938811</v>
      </c>
      <c r="AF8" s="132">
        <f>('Т 6'!AF30-'Т 4'!AF10-'Т 7'!AI11-'Т 6'!AF25)/118*18</f>
        <v>3593.1548932347027</v>
      </c>
      <c r="AG8" s="132">
        <f>('Т 6'!AG30-'Т 4'!AG10-'Т 7'!AJ11-'Т 6'!AG25)/118*18</f>
        <v>3593.1548932347027</v>
      </c>
      <c r="AH8" s="132">
        <f>('Т 6'!AH30-'Т 4'!AH10-'Т 7'!AK11-'Т 6'!AH25)/118*18</f>
        <v>3593.1548932347027</v>
      </c>
      <c r="AI8" s="132">
        <f>('Т 6'!AI30-'Т 4'!AI10-'Т 7'!AL11-'Т 6'!AI25)/118*18</f>
        <v>3593.1548932347027</v>
      </c>
      <c r="AJ8" s="132">
        <f t="shared" si="10"/>
        <v>14372.619572938811</v>
      </c>
      <c r="AK8" s="340"/>
      <c r="AL8" s="137" t="str">
        <f t="shared" si="3"/>
        <v xml:space="preserve">   уплаченный из затрат</v>
      </c>
      <c r="AM8" s="132">
        <f>('Т 6'!AM30-'Т 4'!AM10-'Т 7'!AQ11-'Т 6'!AM25)/118*18</f>
        <v>3593.1548932347027</v>
      </c>
      <c r="AN8" s="132">
        <f>('Т 6'!AN30-'Т 4'!AN10-'Т 7'!AR11-'Т 6'!AN25)/118*18</f>
        <v>3593.1548932347027</v>
      </c>
      <c r="AO8" s="132">
        <f>('Т 6'!AO30-'Т 4'!AO10-'Т 7'!AS11-'Т 6'!AO25)/118*18</f>
        <v>3593.1548932347027</v>
      </c>
      <c r="AP8" s="132">
        <f>('Т 6'!AP30-'Т 4'!AP10-'Т 7'!AT11-'Т 6'!AP25)/118*18</f>
        <v>3593.1548932347027</v>
      </c>
      <c r="AQ8" s="132">
        <f t="shared" si="11"/>
        <v>14372.619572938811</v>
      </c>
      <c r="AR8" s="132">
        <f>('Т 6'!AR30-'Т 4'!AR10-'Т 7'!AV11-'Т 6'!AR25)/118*18</f>
        <v>3593.1548932347027</v>
      </c>
      <c r="AS8" s="132">
        <f>('Т 6'!AS30-'Т 4'!AS10-'Т 7'!AW11-'Т 6'!AS25)/118*18</f>
        <v>3593.1548932347027</v>
      </c>
      <c r="AT8" s="132">
        <f>('Т 6'!AT30-'Т 4'!AT10-'Т 7'!AX11-'Т 6'!AT25)/118*18</f>
        <v>3593.1548932347027</v>
      </c>
      <c r="AU8" s="132">
        <f>('Т 6'!AU30-'Т 4'!AU10-'Т 7'!AY11-'Т 6'!AU25)/118*18</f>
        <v>3593.1548932347027</v>
      </c>
      <c r="AV8" s="132">
        <f t="shared" si="12"/>
        <v>14372.619572938811</v>
      </c>
    </row>
    <row r="9" spans="1:48" ht="12.6" customHeight="1">
      <c r="A9" s="341"/>
      <c r="B9" s="137" t="s">
        <v>254</v>
      </c>
      <c r="C9" s="132">
        <v>0</v>
      </c>
      <c r="D9" s="132">
        <v>0</v>
      </c>
      <c r="E9" s="132">
        <v>0</v>
      </c>
      <c r="F9" s="132">
        <v>0</v>
      </c>
      <c r="G9" s="132">
        <f t="shared" si="5"/>
        <v>0</v>
      </c>
      <c r="H9" s="132">
        <f>'Т 1'!D14/118*18</f>
        <v>8122.8813559322034</v>
      </c>
      <c r="I9" s="132">
        <f>'Т 1'!E14/118*18</f>
        <v>8122.8813559322034</v>
      </c>
      <c r="J9" s="132">
        <f>'Т 1'!F14/118*18</f>
        <v>16970.338983050846</v>
      </c>
      <c r="K9" s="132">
        <f>'Т 1'!G14/118*18</f>
        <v>16970.338983050846</v>
      </c>
      <c r="L9" s="132">
        <f t="shared" si="6"/>
        <v>50186.4406779661</v>
      </c>
      <c r="M9" s="341"/>
      <c r="N9" s="137" t="str">
        <f t="shared" si="13"/>
        <v xml:space="preserve">   возмещаемый из бюджета</v>
      </c>
      <c r="O9" s="132">
        <f>'Т 1'!P14/118*18</f>
        <v>0</v>
      </c>
      <c r="P9" s="132">
        <f>'Т 1'!Q14/118*18</f>
        <v>0</v>
      </c>
      <c r="Q9" s="132">
        <f>'Т 1'!R14/118*18</f>
        <v>0</v>
      </c>
      <c r="R9" s="132">
        <f>'Т 1'!S14/118*18</f>
        <v>0</v>
      </c>
      <c r="S9" s="132">
        <f t="shared" si="7"/>
        <v>0</v>
      </c>
      <c r="T9" s="132">
        <v>0</v>
      </c>
      <c r="U9" s="132">
        <f>'Т 1'!V14/118*18</f>
        <v>0</v>
      </c>
      <c r="V9" s="132">
        <f>'Т 1'!W14/118*18</f>
        <v>0</v>
      </c>
      <c r="W9" s="132">
        <f>'Т 1'!X14/118*18</f>
        <v>0</v>
      </c>
      <c r="X9" s="132">
        <f t="shared" si="8"/>
        <v>0</v>
      </c>
      <c r="Y9" s="341"/>
      <c r="Z9" s="137" t="str">
        <f t="shared" si="1"/>
        <v xml:space="preserve">   возмещаемый из бюджета</v>
      </c>
      <c r="AA9" s="132">
        <f>'Т 1'!U14/118*18</f>
        <v>0</v>
      </c>
      <c r="AB9" s="132">
        <f>'Т 1'!V14/118*18</f>
        <v>0</v>
      </c>
      <c r="AC9" s="132">
        <f>'Т 1'!W14/118*18</f>
        <v>0</v>
      </c>
      <c r="AD9" s="132">
        <f>'Т 1'!X14/118*18</f>
        <v>0</v>
      </c>
      <c r="AE9" s="132">
        <f t="shared" si="9"/>
        <v>0</v>
      </c>
      <c r="AF9" s="132">
        <f>'Т 1'!Z14/118*18</f>
        <v>0</v>
      </c>
      <c r="AG9" s="132">
        <f>'Т 1'!AA14/118*18</f>
        <v>0</v>
      </c>
      <c r="AH9" s="132">
        <f>'Т 1'!AB14/118*18</f>
        <v>0</v>
      </c>
      <c r="AI9" s="132">
        <f>'Т 1'!AC14/118*18</f>
        <v>0</v>
      </c>
      <c r="AJ9" s="132">
        <f t="shared" si="10"/>
        <v>0</v>
      </c>
      <c r="AK9" s="341"/>
      <c r="AL9" s="137" t="str">
        <f t="shared" si="3"/>
        <v xml:space="preserve">   возмещаемый из бюджета</v>
      </c>
      <c r="AM9" s="132">
        <f>'Т 1'!AG14/118*18</f>
        <v>0</v>
      </c>
      <c r="AN9" s="132">
        <f>'Т 1'!AH14/118*18</f>
        <v>0</v>
      </c>
      <c r="AO9" s="132">
        <f>'Т 1'!AI14/118*18</f>
        <v>0</v>
      </c>
      <c r="AP9" s="132">
        <f>'Т 1'!AJ14/118*18</f>
        <v>0</v>
      </c>
      <c r="AQ9" s="132">
        <f t="shared" si="11"/>
        <v>0</v>
      </c>
      <c r="AR9" s="132">
        <f>'Т 1'!AL14/118*18</f>
        <v>0</v>
      </c>
      <c r="AS9" s="132">
        <f>'Т 1'!AM14/118*18</f>
        <v>0</v>
      </c>
      <c r="AT9" s="132">
        <f>'Т 1'!AN14/118*18</f>
        <v>0</v>
      </c>
      <c r="AU9" s="132">
        <f>'Т 1'!AO14/118*18</f>
        <v>0</v>
      </c>
      <c r="AV9" s="132">
        <f t="shared" si="12"/>
        <v>0</v>
      </c>
    </row>
    <row r="10" spans="1:48" ht="12.6" customHeight="1">
      <c r="A10" s="136" t="s">
        <v>68</v>
      </c>
      <c r="B10" s="137" t="s">
        <v>255</v>
      </c>
      <c r="C10" s="132">
        <f>'Т 7'!D17</f>
        <v>0</v>
      </c>
      <c r="D10" s="132">
        <f>'Т 7'!E17</f>
        <v>0</v>
      </c>
      <c r="E10" s="132">
        <f>'Т 7'!F17</f>
        <v>0</v>
      </c>
      <c r="F10" s="132">
        <f>'Т 7'!G17</f>
        <v>0</v>
      </c>
      <c r="G10" s="132">
        <f t="shared" si="5"/>
        <v>0</v>
      </c>
      <c r="H10" s="132">
        <f>'Т 7'!I17</f>
        <v>1490.7810399011296</v>
      </c>
      <c r="I10" s="132">
        <f>'Т 7'!J17</f>
        <v>1467.8096451271181</v>
      </c>
      <c r="J10" s="132">
        <f>'Т 7'!K17</f>
        <v>1444.8382503531068</v>
      </c>
      <c r="K10" s="132">
        <f>'Т 7'!L17</f>
        <v>1421.8668555790953</v>
      </c>
      <c r="L10" s="132">
        <f t="shared" si="6"/>
        <v>5825.2957909604502</v>
      </c>
      <c r="M10" s="136" t="str">
        <f t="shared" ref="M10:M17" si="14">A10</f>
        <v>2.</v>
      </c>
      <c r="N10" s="137" t="str">
        <f t="shared" si="13"/>
        <v>Налог на имущество</v>
      </c>
      <c r="O10" s="132">
        <f>'Т 7'!Q17</f>
        <v>1398.8954608050835</v>
      </c>
      <c r="P10" s="132">
        <f>'Т 7'!R17</f>
        <v>1375.9240660310718</v>
      </c>
      <c r="Q10" s="132">
        <f>'Т 7'!S17</f>
        <v>1352.9526712570605</v>
      </c>
      <c r="R10" s="132">
        <f>'Т 7'!T17</f>
        <v>1329.9812764830492</v>
      </c>
      <c r="S10" s="132">
        <f t="shared" si="7"/>
        <v>5457.753474576265</v>
      </c>
      <c r="T10" s="132">
        <f>'Т 7'!V17</f>
        <v>1307.0098817090375</v>
      </c>
      <c r="U10" s="132">
        <f>'Т 7'!W17</f>
        <v>1284.0384869350257</v>
      </c>
      <c r="V10" s="132">
        <f>'Т 7'!X17</f>
        <v>1261.0670921610144</v>
      </c>
      <c r="W10" s="132">
        <f>'Т 7'!Y17</f>
        <v>1238.0956973870029</v>
      </c>
      <c r="X10" s="132">
        <f t="shared" si="8"/>
        <v>5090.2111581920799</v>
      </c>
      <c r="Y10" s="136" t="str">
        <f t="shared" ref="Y10:Y17" si="15">M10</f>
        <v>2.</v>
      </c>
      <c r="Z10" s="137" t="str">
        <f t="shared" si="1"/>
        <v>Налог на имущество</v>
      </c>
      <c r="AA10" s="132">
        <f>'Т 7'!AD17</f>
        <v>1215.1243026129912</v>
      </c>
      <c r="AB10" s="132">
        <f>'Т 7'!AE17</f>
        <v>1192.1529078389797</v>
      </c>
      <c r="AC10" s="132">
        <f>'Т 7'!AF17</f>
        <v>1169.1815130649682</v>
      </c>
      <c r="AD10" s="132">
        <f>'Т 7'!AG17</f>
        <v>1146.2101182909569</v>
      </c>
      <c r="AE10" s="132">
        <f t="shared" si="9"/>
        <v>4722.6688418078957</v>
      </c>
      <c r="AF10" s="132">
        <f>'Т 7'!AI17</f>
        <v>1123.2387235169451</v>
      </c>
      <c r="AG10" s="132">
        <f>'Т 7'!AJ17</f>
        <v>1100.2673287429334</v>
      </c>
      <c r="AH10" s="132">
        <f>'Т 7'!AK17</f>
        <v>1077.2959339689221</v>
      </c>
      <c r="AI10" s="132">
        <f>'Т 7'!AL17</f>
        <v>1054.3245391949106</v>
      </c>
      <c r="AJ10" s="132">
        <f t="shared" si="10"/>
        <v>4355.1265254237114</v>
      </c>
      <c r="AK10" s="136" t="str">
        <f t="shared" ref="AK10:AK17" si="16">Y10</f>
        <v>2.</v>
      </c>
      <c r="AL10" s="137" t="str">
        <f t="shared" si="3"/>
        <v>Налог на имущество</v>
      </c>
      <c r="AM10" s="132">
        <f>'Т 7'!AQ17</f>
        <v>1031.3531444208991</v>
      </c>
      <c r="AN10" s="132">
        <f>'Т 7'!AR17</f>
        <v>1008.3817496468872</v>
      </c>
      <c r="AO10" s="132">
        <f>'Т 7'!AS17</f>
        <v>985.41035487287593</v>
      </c>
      <c r="AP10" s="132">
        <f>'Т 7'!AT17</f>
        <v>962.43896009886453</v>
      </c>
      <c r="AQ10" s="132">
        <f t="shared" si="11"/>
        <v>3987.5842090395263</v>
      </c>
      <c r="AR10" s="132">
        <f>'Т 7'!AV17</f>
        <v>939.46756532485279</v>
      </c>
      <c r="AS10" s="132">
        <f>'Т 7'!AW17</f>
        <v>916.49617055084127</v>
      </c>
      <c r="AT10" s="132">
        <f>'Т 7'!AX17</f>
        <v>893.52477577682976</v>
      </c>
      <c r="AU10" s="132">
        <f>'Т 7'!AY17</f>
        <v>870.55338100281824</v>
      </c>
      <c r="AV10" s="132">
        <f t="shared" si="12"/>
        <v>3620.0418926553421</v>
      </c>
    </row>
    <row r="11" spans="1:48" ht="22.65" customHeight="1">
      <c r="A11" s="175" t="s">
        <v>70</v>
      </c>
      <c r="B11" s="130" t="s">
        <v>8</v>
      </c>
      <c r="C11" s="132">
        <f>'Т 4'!C12</f>
        <v>0</v>
      </c>
      <c r="D11" s="132">
        <f>'Т 4'!D12</f>
        <v>0</v>
      </c>
      <c r="E11" s="132">
        <f>'Т 4'!E12</f>
        <v>0</v>
      </c>
      <c r="F11" s="132">
        <f>'Т 4'!F12</f>
        <v>0</v>
      </c>
      <c r="G11" s="141">
        <f t="shared" si="5"/>
        <v>0</v>
      </c>
      <c r="H11" s="132">
        <f>'Т 4'!H12</f>
        <v>1612.6799999999998</v>
      </c>
      <c r="I11" s="132">
        <f>'Т 4'!I12</f>
        <v>1612.6799999999998</v>
      </c>
      <c r="J11" s="132">
        <f>'Т 4'!J12</f>
        <v>1612.6799999999998</v>
      </c>
      <c r="K11" s="132">
        <f>'Т 4'!K12</f>
        <v>1612.6799999999998</v>
      </c>
      <c r="L11" s="141">
        <f t="shared" si="6"/>
        <v>6450.7199999999993</v>
      </c>
      <c r="M11" s="175" t="str">
        <f t="shared" si="14"/>
        <v>3.</v>
      </c>
      <c r="N11" s="130" t="str">
        <f t="shared" si="13"/>
        <v>Страховые взносы в ПФ РФ, ФСС РФ, ФФОМС, ТФОМС</v>
      </c>
      <c r="O11" s="132">
        <f>'Т 4'!O12</f>
        <v>1612.6799999999998</v>
      </c>
      <c r="P11" s="132">
        <f>'Т 4'!P12</f>
        <v>1612.6799999999998</v>
      </c>
      <c r="Q11" s="132">
        <f>'Т 4'!Q12</f>
        <v>1612.6799999999998</v>
      </c>
      <c r="R11" s="132">
        <f>'Т 4'!R12</f>
        <v>1612.6799999999998</v>
      </c>
      <c r="S11" s="141">
        <f t="shared" si="7"/>
        <v>6450.7199999999993</v>
      </c>
      <c r="T11" s="132">
        <f>'Т 4'!T12</f>
        <v>1612.6799999999998</v>
      </c>
      <c r="U11" s="132">
        <f>'Т 4'!U12</f>
        <v>1612.6799999999998</v>
      </c>
      <c r="V11" s="132">
        <f>'Т 4'!V12</f>
        <v>1612.6799999999998</v>
      </c>
      <c r="W11" s="132">
        <f>'Т 4'!W12</f>
        <v>1612.6799999999998</v>
      </c>
      <c r="X11" s="141">
        <f t="shared" si="8"/>
        <v>6450.7199999999993</v>
      </c>
      <c r="Y11" s="175" t="str">
        <f t="shared" si="15"/>
        <v>3.</v>
      </c>
      <c r="Z11" s="130" t="str">
        <f t="shared" si="1"/>
        <v>Страховые взносы в ПФ РФ, ФСС РФ, ФФОМС, ТФОМС</v>
      </c>
      <c r="AA11" s="132">
        <f>'Т 4'!AA12</f>
        <v>1612.6799999999998</v>
      </c>
      <c r="AB11" s="132">
        <f>'Т 4'!AB12</f>
        <v>1612.6799999999998</v>
      </c>
      <c r="AC11" s="132">
        <f>'Т 4'!AC12</f>
        <v>1612.6799999999998</v>
      </c>
      <c r="AD11" s="132">
        <f>'Т 4'!AD12</f>
        <v>1612.6799999999998</v>
      </c>
      <c r="AE11" s="141">
        <f t="shared" si="9"/>
        <v>6450.7199999999993</v>
      </c>
      <c r="AF11" s="132">
        <f>'Т 4'!AF12</f>
        <v>1612.6799999999998</v>
      </c>
      <c r="AG11" s="132">
        <f>'Т 4'!AG12</f>
        <v>1612.6799999999998</v>
      </c>
      <c r="AH11" s="132">
        <f>'Т 4'!AH12</f>
        <v>1612.6799999999998</v>
      </c>
      <c r="AI11" s="132">
        <f>'Т 4'!AI12</f>
        <v>1612.6799999999998</v>
      </c>
      <c r="AJ11" s="132">
        <f t="shared" si="10"/>
        <v>6450.7199999999993</v>
      </c>
      <c r="AK11" s="175" t="str">
        <f t="shared" si="16"/>
        <v>3.</v>
      </c>
      <c r="AL11" s="130" t="str">
        <f t="shared" si="3"/>
        <v>Страховые взносы в ПФ РФ, ФСС РФ, ФФОМС, ТФОМС</v>
      </c>
      <c r="AM11" s="132">
        <f>'Т 4'!AM12</f>
        <v>1612.6799999999998</v>
      </c>
      <c r="AN11" s="132">
        <f>'Т 4'!AN12</f>
        <v>1612.6799999999998</v>
      </c>
      <c r="AO11" s="132">
        <f>'Т 4'!AO12</f>
        <v>1612.6799999999998</v>
      </c>
      <c r="AP11" s="132">
        <f>'Т 4'!AP12</f>
        <v>1612.6799999999998</v>
      </c>
      <c r="AQ11" s="141">
        <f t="shared" si="11"/>
        <v>6450.7199999999993</v>
      </c>
      <c r="AR11" s="132">
        <f>'Т 4'!AR12</f>
        <v>1612.6799999999998</v>
      </c>
      <c r="AS11" s="132">
        <f>'Т 4'!AS12</f>
        <v>1612.6799999999998</v>
      </c>
      <c r="AT11" s="132">
        <f>'Т 4'!AT12</f>
        <v>1612.6799999999998</v>
      </c>
      <c r="AU11" s="132">
        <f>'Т 4'!AU12</f>
        <v>1612.6799999999998</v>
      </c>
      <c r="AV11" s="132">
        <f t="shared" si="12"/>
        <v>6450.7199999999993</v>
      </c>
    </row>
    <row r="12" spans="1:48" ht="12.6" customHeight="1">
      <c r="A12" s="136" t="s">
        <v>72</v>
      </c>
      <c r="B12" s="137" t="s">
        <v>256</v>
      </c>
      <c r="C12" s="132">
        <f>'Исходные данные'!B16</f>
        <v>173.875</v>
      </c>
      <c r="D12" s="132">
        <f>C12</f>
        <v>173.875</v>
      </c>
      <c r="E12" s="132">
        <f>D12</f>
        <v>173.875</v>
      </c>
      <c r="F12" s="132">
        <f>E12</f>
        <v>173.875</v>
      </c>
      <c r="G12" s="132">
        <f t="shared" si="5"/>
        <v>695.5</v>
      </c>
      <c r="H12" s="132">
        <f>F12</f>
        <v>173.875</v>
      </c>
      <c r="I12" s="132">
        <f>H12</f>
        <v>173.875</v>
      </c>
      <c r="J12" s="132">
        <f>I12</f>
        <v>173.875</v>
      </c>
      <c r="K12" s="132">
        <f>J12</f>
        <v>173.875</v>
      </c>
      <c r="L12" s="132">
        <f t="shared" si="6"/>
        <v>695.5</v>
      </c>
      <c r="M12" s="136" t="str">
        <f t="shared" si="14"/>
        <v>4.</v>
      </c>
      <c r="N12" s="137" t="str">
        <f t="shared" si="13"/>
        <v>Арендная плата за землю</v>
      </c>
      <c r="O12" s="132">
        <f>K12</f>
        <v>173.875</v>
      </c>
      <c r="P12" s="132">
        <f>O12</f>
        <v>173.875</v>
      </c>
      <c r="Q12" s="132">
        <f>P12</f>
        <v>173.875</v>
      </c>
      <c r="R12" s="132">
        <f>Q12</f>
        <v>173.875</v>
      </c>
      <c r="S12" s="132">
        <f t="shared" si="7"/>
        <v>695.5</v>
      </c>
      <c r="T12" s="132">
        <f>R12</f>
        <v>173.875</v>
      </c>
      <c r="U12" s="132">
        <f>T12</f>
        <v>173.875</v>
      </c>
      <c r="V12" s="132">
        <f>U12</f>
        <v>173.875</v>
      </c>
      <c r="W12" s="132">
        <f>V12</f>
        <v>173.875</v>
      </c>
      <c r="X12" s="132">
        <f t="shared" si="8"/>
        <v>695.5</v>
      </c>
      <c r="Y12" s="136" t="str">
        <f t="shared" si="15"/>
        <v>4.</v>
      </c>
      <c r="Z12" s="137" t="str">
        <f t="shared" si="1"/>
        <v>Арендная плата за землю</v>
      </c>
      <c r="AA12" s="132">
        <f>W12</f>
        <v>173.875</v>
      </c>
      <c r="AB12" s="132">
        <f>AA12</f>
        <v>173.875</v>
      </c>
      <c r="AC12" s="132">
        <f>AB12</f>
        <v>173.875</v>
      </c>
      <c r="AD12" s="132">
        <f>AC12</f>
        <v>173.875</v>
      </c>
      <c r="AE12" s="132">
        <f t="shared" si="9"/>
        <v>695.5</v>
      </c>
      <c r="AF12" s="132">
        <f>AB12</f>
        <v>173.875</v>
      </c>
      <c r="AG12" s="132">
        <f>AF12</f>
        <v>173.875</v>
      </c>
      <c r="AH12" s="132">
        <f>AG12</f>
        <v>173.875</v>
      </c>
      <c r="AI12" s="132">
        <f>AH12</f>
        <v>173.875</v>
      </c>
      <c r="AJ12" s="132">
        <f t="shared" si="10"/>
        <v>695.5</v>
      </c>
      <c r="AK12" s="136" t="str">
        <f t="shared" si="16"/>
        <v>4.</v>
      </c>
      <c r="AL12" s="137" t="str">
        <f t="shared" si="3"/>
        <v>Арендная плата за землю</v>
      </c>
      <c r="AM12" s="132">
        <f>AI12</f>
        <v>173.875</v>
      </c>
      <c r="AN12" s="132">
        <f>AM12</f>
        <v>173.875</v>
      </c>
      <c r="AO12" s="132">
        <f>AN12</f>
        <v>173.875</v>
      </c>
      <c r="AP12" s="132">
        <f>AO12</f>
        <v>173.875</v>
      </c>
      <c r="AQ12" s="132">
        <f t="shared" si="11"/>
        <v>695.5</v>
      </c>
      <c r="AR12" s="132">
        <f>AN12</f>
        <v>173.875</v>
      </c>
      <c r="AS12" s="132">
        <f>AR12</f>
        <v>173.875</v>
      </c>
      <c r="AT12" s="132">
        <f>AS12</f>
        <v>173.875</v>
      </c>
      <c r="AU12" s="132">
        <f>AT12</f>
        <v>173.875</v>
      </c>
      <c r="AV12" s="132">
        <f t="shared" si="12"/>
        <v>695.5</v>
      </c>
    </row>
    <row r="13" spans="1:48" ht="12.6" customHeight="1">
      <c r="A13" s="175" t="s">
        <v>74</v>
      </c>
      <c r="B13" s="130" t="s">
        <v>257</v>
      </c>
      <c r="C13" s="132">
        <f>IF('Т 9'!C19*'Исходные данные'!$B$103&lt;0,0,'Т 9'!C19*'Исходные данные'!$B$103)</f>
        <v>0</v>
      </c>
      <c r="D13" s="132">
        <f>IF('Т 9'!D19*'Исходные данные'!$B$103&lt;0,0,'Т 9'!D19*'Исходные данные'!$B$103)</f>
        <v>0</v>
      </c>
      <c r="E13" s="132">
        <f>IF('Т 9'!E19*'Исходные данные'!$B$103&lt;0,0,'Т 9'!E19*'Исходные данные'!$B$103)</f>
        <v>0</v>
      </c>
      <c r="F13" s="132">
        <f>IF('Т 9'!F19*'Исходные данные'!$B$103&lt;0,0,'Т 9'!F19*'Исходные данные'!$B$103)</f>
        <v>0</v>
      </c>
      <c r="G13" s="141">
        <f t="shared" si="5"/>
        <v>0</v>
      </c>
      <c r="H13" s="132">
        <f>IF('Т 9'!H19*'Исходные данные'!$B$103&lt;0,0,'Т 9'!H19*'Исходные данные'!$B$103)</f>
        <v>4616.9040412288132</v>
      </c>
      <c r="I13" s="132">
        <f>IF('Т 9'!I19*'Исходные данные'!$B$103&lt;0,0,'Т 9'!I19*'Исходные данные'!$B$103)</f>
        <v>4621.4983201836158</v>
      </c>
      <c r="J13" s="132">
        <f>IF('Т 9'!J19*'Исходные данные'!$B$103&lt;0,0,'Т 9'!J19*'Исходные данные'!$B$103)</f>
        <v>4626.0925991384183</v>
      </c>
      <c r="K13" s="132">
        <f>IF('Т 9'!K19*'Исходные данные'!$B$103&lt;0,0,'Т 9'!K19*'Исходные данные'!$B$103)</f>
        <v>4630.68687809322</v>
      </c>
      <c r="L13" s="141">
        <f t="shared" si="6"/>
        <v>18495.181838644068</v>
      </c>
      <c r="M13" s="175" t="str">
        <f t="shared" si="14"/>
        <v>5.</v>
      </c>
      <c r="N13" s="130" t="str">
        <f t="shared" si="13"/>
        <v>Налог на прибыль</v>
      </c>
      <c r="O13" s="132">
        <f>IF('Т 9'!O19*'Исходные данные'!$B$103&lt;0,0,'Т 9'!O19*'Исходные данные'!$B$103)</f>
        <v>3537.3155255254715</v>
      </c>
      <c r="P13" s="132">
        <f>IF('Т 9'!P19*'Исходные данные'!$B$103&lt;0,0,'Т 9'!P19*'Исходные данные'!$B$103)</f>
        <v>3541.909804480274</v>
      </c>
      <c r="Q13" s="132">
        <f>IF('Т 9'!Q19*'Исходные данные'!$B$103&lt;0,0,'Т 9'!Q19*'Исходные данные'!$B$103)</f>
        <v>3546.5040834350762</v>
      </c>
      <c r="R13" s="132">
        <f>IF('Т 9'!R19*'Исходные данные'!$B$103&lt;0,0,'Т 9'!R19*'Исходные данные'!$B$103)</f>
        <v>3551.0983623898787</v>
      </c>
      <c r="S13" s="141">
        <f t="shared" si="7"/>
        <v>14176.827775830701</v>
      </c>
      <c r="T13" s="132">
        <f>IF('Т 9'!T19*'Исходные данные'!$B$103&lt;0,0,'Т 9'!T19*'Исходные данные'!$B$103)</f>
        <v>3555.6926413446813</v>
      </c>
      <c r="U13" s="132">
        <f>IF('Т 9'!U19*'Исходные данные'!$B$103&lt;0,0,'Т 9'!U19*'Исходные данные'!$B$103)</f>
        <v>3560.286920299483</v>
      </c>
      <c r="V13" s="132">
        <f>IF('Т 9'!V19*'Исходные данные'!$B$103&lt;0,0,'Т 9'!V19*'Исходные данные'!$B$103)</f>
        <v>3564.8811992542855</v>
      </c>
      <c r="W13" s="132">
        <f>IF('Т 9'!W19*'Исходные данные'!$B$103&lt;0,0,'Т 9'!W19*'Исходные данные'!$B$103)</f>
        <v>3569.4754782090881</v>
      </c>
      <c r="X13" s="141">
        <f t="shared" si="8"/>
        <v>14250.336239107537</v>
      </c>
      <c r="Y13" s="175" t="str">
        <f t="shared" si="15"/>
        <v>5.</v>
      </c>
      <c r="Z13" s="130" t="str">
        <f t="shared" si="1"/>
        <v>Налог на прибыль</v>
      </c>
      <c r="AA13" s="132">
        <f>IF('Т 9'!AA19*'Исходные данные'!$B$103&lt;0,0,'Т 9'!AA19*'Исходные данные'!$B$103)</f>
        <v>3574.0697571638902</v>
      </c>
      <c r="AB13" s="132">
        <f>IF('Т 9'!AB19*'Исходные данные'!$B$103&lt;0,0,'Т 9'!AB19*'Исходные данные'!$B$103)</f>
        <v>3578.6640361186928</v>
      </c>
      <c r="AC13" s="132">
        <f>IF('Т 9'!AC19*'Исходные данные'!$B$103&lt;0,0,'Т 9'!AC19*'Исходные данные'!$B$103)</f>
        <v>3583.2583150734954</v>
      </c>
      <c r="AD13" s="132">
        <f>IF('Т 9'!AD19*'Исходные данные'!$B$103&lt;0,0,'Т 9'!AD19*'Исходные данные'!$B$103)</f>
        <v>3587.8525940282971</v>
      </c>
      <c r="AE13" s="141">
        <f t="shared" si="9"/>
        <v>14323.844702384376</v>
      </c>
      <c r="AF13" s="132">
        <f>IF('Т 9'!AF19*'Исходные данные'!$B$103&lt;0,0,'Т 9'!AF19*'Исходные данные'!$B$103)</f>
        <v>3592.4468729830996</v>
      </c>
      <c r="AG13" s="132">
        <f>IF('Т 9'!AG19*'Исходные данные'!$B$103&lt;0,0,'Т 9'!AG19*'Исходные данные'!$B$103)</f>
        <v>3597.0411519379022</v>
      </c>
      <c r="AH13" s="132">
        <f>IF('Т 9'!AH19*'Исходные данные'!$B$103&lt;0,0,'Т 9'!AH19*'Исходные данные'!$B$103)</f>
        <v>3601.6354308927039</v>
      </c>
      <c r="AI13" s="132">
        <f>IF('Т 9'!AI19*'Исходные данные'!$B$103&lt;0,0,'Т 9'!AI19*'Исходные данные'!$B$103)</f>
        <v>3606.2297098475065</v>
      </c>
      <c r="AJ13" s="141">
        <f t="shared" si="10"/>
        <v>14397.353165661212</v>
      </c>
      <c r="AK13" s="175" t="str">
        <f t="shared" si="16"/>
        <v>5.</v>
      </c>
      <c r="AL13" s="130" t="str">
        <f t="shared" si="3"/>
        <v>Налог на прибыль</v>
      </c>
      <c r="AM13" s="132">
        <f>IF('Т 9'!AM19*'Исходные данные'!$B$103&lt;0,0,'Т 9'!AM19*'Исходные данные'!$B$103)</f>
        <v>3610.8239888023086</v>
      </c>
      <c r="AN13" s="132">
        <f>IF('Т 9'!AN19*'Исходные данные'!$B$103&lt;0,0,'Т 9'!AN19*'Исходные данные'!$B$103)</f>
        <v>3615.4182677571112</v>
      </c>
      <c r="AO13" s="132">
        <f>IF('Т 9'!AO19*'Исходные данные'!$B$103&lt;0,0,'Т 9'!AO19*'Исходные данные'!$B$103)</f>
        <v>3620.0125467119128</v>
      </c>
      <c r="AP13" s="132">
        <f>IF('Т 9'!AP19*'Исходные данные'!$B$103&lt;0,0,'Т 9'!AP19*'Исходные данные'!$B$103)</f>
        <v>3624.6068256667154</v>
      </c>
      <c r="AQ13" s="141">
        <f t="shared" si="11"/>
        <v>14470.861628938048</v>
      </c>
      <c r="AR13" s="132">
        <f>IF('Т 9'!AR19*'Исходные данные'!$B$103&lt;0,0,'Т 9'!AR19*'Исходные данные'!$B$103)</f>
        <v>3629.201104621518</v>
      </c>
      <c r="AS13" s="132">
        <f>IF('Т 9'!AS19*'Исходные данные'!$B$103&lt;0,0,'Т 9'!AS19*'Исходные данные'!$B$103)</f>
        <v>3633.7953835763201</v>
      </c>
      <c r="AT13" s="132">
        <f>IF('Т 9'!AT19*'Исходные данные'!$B$103&lt;0,0,'Т 9'!AT19*'Исходные данные'!$B$103)</f>
        <v>3638.3896625311227</v>
      </c>
      <c r="AU13" s="132">
        <f>IF('Т 9'!AU19*'Исходные данные'!$B$103&lt;0,0,'Т 9'!AU19*'Исходные данные'!$B$103)</f>
        <v>3642.9839414859252</v>
      </c>
      <c r="AV13" s="141">
        <f t="shared" si="12"/>
        <v>14544.370092214886</v>
      </c>
    </row>
    <row r="14" spans="1:48" ht="12.6" customHeight="1">
      <c r="A14" s="136" t="s">
        <v>182</v>
      </c>
      <c r="B14" s="137" t="s">
        <v>258</v>
      </c>
      <c r="C14" s="132">
        <v>0</v>
      </c>
      <c r="D14" s="132">
        <v>0</v>
      </c>
      <c r="E14" s="132">
        <v>0</v>
      </c>
      <c r="F14" s="132">
        <v>0</v>
      </c>
      <c r="G14" s="132">
        <f t="shared" si="5"/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f t="shared" si="6"/>
        <v>0</v>
      </c>
      <c r="M14" s="136" t="str">
        <f t="shared" si="14"/>
        <v>6.</v>
      </c>
      <c r="N14" s="137" t="str">
        <f t="shared" si="13"/>
        <v>Транспортный налог</v>
      </c>
      <c r="O14" s="132">
        <v>0</v>
      </c>
      <c r="P14" s="132">
        <v>0</v>
      </c>
      <c r="Q14" s="132">
        <v>0</v>
      </c>
      <c r="R14" s="132">
        <v>0</v>
      </c>
      <c r="S14" s="132">
        <f t="shared" si="7"/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f t="shared" si="8"/>
        <v>0</v>
      </c>
      <c r="Y14" s="136" t="str">
        <f t="shared" si="15"/>
        <v>6.</v>
      </c>
      <c r="Z14" s="137" t="str">
        <f t="shared" si="1"/>
        <v>Транспортный налог</v>
      </c>
      <c r="AA14" s="132">
        <f>W14</f>
        <v>0</v>
      </c>
      <c r="AB14" s="132">
        <f>AA14</f>
        <v>0</v>
      </c>
      <c r="AC14" s="132">
        <f>AB14</f>
        <v>0</v>
      </c>
      <c r="AD14" s="132">
        <f>AC14</f>
        <v>0</v>
      </c>
      <c r="AE14" s="132">
        <f t="shared" si="9"/>
        <v>0</v>
      </c>
      <c r="AF14" s="132">
        <f>AB14</f>
        <v>0</v>
      </c>
      <c r="AG14" s="132">
        <f>AF14</f>
        <v>0</v>
      </c>
      <c r="AH14" s="132">
        <f>AG14</f>
        <v>0</v>
      </c>
      <c r="AI14" s="132">
        <f>AH14</f>
        <v>0</v>
      </c>
      <c r="AJ14" s="132">
        <f t="shared" si="10"/>
        <v>0</v>
      </c>
      <c r="AK14" s="136" t="str">
        <f t="shared" si="16"/>
        <v>6.</v>
      </c>
      <c r="AL14" s="137" t="str">
        <f t="shared" si="3"/>
        <v>Транспортный налог</v>
      </c>
      <c r="AM14" s="132">
        <f>AI14</f>
        <v>0</v>
      </c>
      <c r="AN14" s="132">
        <f>AM14</f>
        <v>0</v>
      </c>
      <c r="AO14" s="132">
        <f>AN14</f>
        <v>0</v>
      </c>
      <c r="AP14" s="132">
        <f>AO14</f>
        <v>0</v>
      </c>
      <c r="AQ14" s="132">
        <f t="shared" si="11"/>
        <v>0</v>
      </c>
      <c r="AR14" s="132">
        <f>AN14</f>
        <v>0</v>
      </c>
      <c r="AS14" s="132">
        <f>AR14</f>
        <v>0</v>
      </c>
      <c r="AT14" s="132">
        <f>AS14</f>
        <v>0</v>
      </c>
      <c r="AU14" s="132">
        <f>AT14</f>
        <v>0</v>
      </c>
      <c r="AV14" s="132">
        <f t="shared" si="12"/>
        <v>0</v>
      </c>
    </row>
    <row r="15" spans="1:48" ht="32.700000000000003" customHeight="1">
      <c r="A15" s="175" t="s">
        <v>187</v>
      </c>
      <c r="B15" s="130" t="s">
        <v>43</v>
      </c>
      <c r="C15" s="132">
        <v>0</v>
      </c>
      <c r="D15" s="132">
        <v>0</v>
      </c>
      <c r="E15" s="132">
        <v>0</v>
      </c>
      <c r="F15" s="132">
        <v>0</v>
      </c>
      <c r="G15" s="141">
        <f t="shared" si="5"/>
        <v>0</v>
      </c>
      <c r="H15" s="132">
        <f>('Т 3'!I7+'Т 3'!I12+'Т 3'!I17+'Т 3'!I22+'Т 3'!I27+'Т 3'!I32+'Т 3'!I37+'Т 3'!I42+'Т 3'!I47+'Т 3'!I52)*$B$25*$C$25</f>
        <v>110.4</v>
      </c>
      <c r="I15" s="132">
        <f>('Т 3'!J7+'Т 3'!J12+'Т 3'!J17+'Т 3'!J22+'Т 3'!J27+'Т 3'!J32+'Т 3'!J37+'Т 3'!J42+'Т 3'!J47+'Т 3'!J52)*$B$25*$C$25</f>
        <v>110.4</v>
      </c>
      <c r="J15" s="132">
        <f>('Т 3'!K7+'Т 3'!K12+'Т 3'!K17+'Т 3'!K22+'Т 3'!K27+'Т 3'!K32+'Т 3'!K37+'Т 3'!K42+'Т 3'!K47+'Т 3'!K52)*$B$25*$C$25</f>
        <v>110.4</v>
      </c>
      <c r="K15" s="132">
        <f>('Т 3'!L7+'Т 3'!L12+'Т 3'!L17+'Т 3'!L22+'Т 3'!L27+'Т 3'!L32+'Т 3'!L37+'Т 3'!L42+'Т 3'!L47+'Т 3'!L52)*$B$25*$C$25</f>
        <v>110.4</v>
      </c>
      <c r="L15" s="141">
        <f t="shared" si="6"/>
        <v>441.6</v>
      </c>
      <c r="M15" s="175" t="str">
        <f t="shared" si="14"/>
        <v>7.</v>
      </c>
      <c r="N15" s="130" t="str">
        <f t="shared" si="13"/>
        <v>Плата за негативное воздействие на окружающую среду</v>
      </c>
      <c r="O15" s="132">
        <f>('Т 3'!Q7+'Т 3'!Q12+'Т 3'!Q17+'Т 3'!Q22+'Т 3'!Q27+'Т 3'!Q32+'Т 3'!Q37+'Т 3'!Q42+'Т 3'!Q47+'Т 3'!Q52)*$B$25*$C$25</f>
        <v>110.4</v>
      </c>
      <c r="P15" s="132">
        <f>('Т 3'!R7+'Т 3'!R12+'Т 3'!R17+'Т 3'!R22+'Т 3'!R27+'Т 3'!R32+'Т 3'!R37+'Т 3'!R42+'Т 3'!R47+'Т 3'!R52)*$B$25*$C$25</f>
        <v>110.4</v>
      </c>
      <c r="Q15" s="132">
        <f>('Т 3'!S7+'Т 3'!S12+'Т 3'!S17+'Т 3'!S22+'Т 3'!S27+'Т 3'!S32+'Т 3'!S37+'Т 3'!S42+'Т 3'!S47+'Т 3'!S52)*$B$25*$C$25</f>
        <v>110.4</v>
      </c>
      <c r="R15" s="132">
        <f>('Т 3'!T7+'Т 3'!T12+'Т 3'!T17+'Т 3'!T22+'Т 3'!T27+'Т 3'!T32+'Т 3'!T37+'Т 3'!T42+'Т 3'!T47+'Т 3'!T52)*$B$25*$C$25</f>
        <v>110.4</v>
      </c>
      <c r="S15" s="141">
        <f t="shared" si="7"/>
        <v>441.6</v>
      </c>
      <c r="T15" s="132">
        <f>('Т 3'!V7+'Т 3'!V12+'Т 3'!V17+'Т 3'!V22+'Т 3'!V27+'Т 3'!V32+'Т 3'!V37+'Т 3'!V42+'Т 3'!V47+'Т 3'!V52)*$B$25*$C$25</f>
        <v>110.4</v>
      </c>
      <c r="U15" s="132">
        <f>('Т 3'!W7+'Т 3'!W12+'Т 3'!W17+'Т 3'!W22+'Т 3'!W27+'Т 3'!W32+'Т 3'!W37+'Т 3'!W42+'Т 3'!W47+'Т 3'!W52)*$B$25*$C$25</f>
        <v>110.4</v>
      </c>
      <c r="V15" s="132">
        <f>('Т 3'!X7+'Т 3'!X12+'Т 3'!X17+'Т 3'!X22+'Т 3'!X27+'Т 3'!X32+'Т 3'!X37+'Т 3'!X42+'Т 3'!X47+'Т 3'!X52)*$B$25*$C$25</f>
        <v>110.4</v>
      </c>
      <c r="W15" s="132">
        <f>('Т 3'!Y7+'Т 3'!Y12+'Т 3'!Y17+'Т 3'!Y22+'Т 3'!Y27+'Т 3'!Y32+'Т 3'!Y37+'Т 3'!Y42+'Т 3'!Y47+'Т 3'!Y52)*$B$25*$C$25</f>
        <v>110.4</v>
      </c>
      <c r="X15" s="141">
        <f t="shared" si="8"/>
        <v>441.6</v>
      </c>
      <c r="Y15" s="175" t="str">
        <f t="shared" si="15"/>
        <v>7.</v>
      </c>
      <c r="Z15" s="130" t="str">
        <f t="shared" si="1"/>
        <v>Плата за негативное воздействие на окружающую среду</v>
      </c>
      <c r="AA15" s="132">
        <f>('Т 3'!AD7+'Т 3'!AD12+'Т 3'!AD17+'Т 3'!AD22+'Т 3'!AD27+'Т 3'!AD32+'Т 3'!AD37+'Т 3'!AD42+'Т 3'!AD47+'Т 3'!AD52)*$B$25*$C$25</f>
        <v>110.4</v>
      </c>
      <c r="AB15" s="132">
        <f>('Т 3'!AE7+'Т 3'!AE12+'Т 3'!AE17+'Т 3'!AE22+'Т 3'!AE27+'Т 3'!AE32+'Т 3'!AE37+'Т 3'!AE42+'Т 3'!AE47+'Т 3'!AE52)*$B$25*$C$25</f>
        <v>110.4</v>
      </c>
      <c r="AC15" s="132">
        <f>('Т 3'!AF7+'Т 3'!AF12+'Т 3'!AF17+'Т 3'!AF22+'Т 3'!AF27+'Т 3'!AF32+'Т 3'!AF37+'Т 3'!AF42+'Т 3'!AF47+'Т 3'!AF52)*$B$25*$C$25</f>
        <v>110.4</v>
      </c>
      <c r="AD15" s="132">
        <f>('Т 3'!AG7+'Т 3'!AG12+'Т 3'!AG17+'Т 3'!AG22+'Т 3'!AG27+'Т 3'!AG32+'Т 3'!AG37+'Т 3'!AG42+'Т 3'!AG47+'Т 3'!AG52)*$B$25*$C$25</f>
        <v>110.4</v>
      </c>
      <c r="AE15" s="141">
        <f t="shared" si="9"/>
        <v>441.6</v>
      </c>
      <c r="AF15" s="132">
        <f>('Т 3'!AI7+'Т 3'!AI12+'Т 3'!AI17+'Т 3'!AI22+'Т 3'!AI27+'Т 3'!AI32+'Т 3'!AI37+'Т 3'!AI42+'Т 3'!AI47+'Т 3'!AI52)*$B$25*$C$25</f>
        <v>110.4</v>
      </c>
      <c r="AG15" s="132">
        <f>('Т 3'!AJ7+'Т 3'!AJ12+'Т 3'!AJ17+'Т 3'!AJ22+'Т 3'!AJ27+'Т 3'!AJ32+'Т 3'!AJ37+'Т 3'!AJ42+'Т 3'!AJ47+'Т 3'!AJ52)*$B$25*$C$25</f>
        <v>110.4</v>
      </c>
      <c r="AH15" s="132">
        <f>('Т 3'!AK7+'Т 3'!AK12+'Т 3'!AK17+'Т 3'!AK22+'Т 3'!AK27+'Т 3'!AK32+'Т 3'!AK37+'Т 3'!AK42+'Т 3'!AK47+'Т 3'!AK52)*$B$25*$C$25</f>
        <v>110.4</v>
      </c>
      <c r="AI15" s="132">
        <f>('Т 3'!AL7+'Т 3'!AL12+'Т 3'!AL17+'Т 3'!AL22+'Т 3'!AL27+'Т 3'!AL32+'Т 3'!AL37+'Т 3'!AL42+'Т 3'!AL47+'Т 3'!AL52)*$B$25*$C$25</f>
        <v>110.4</v>
      </c>
      <c r="AJ15" s="141">
        <f t="shared" si="10"/>
        <v>441.6</v>
      </c>
      <c r="AK15" s="175" t="str">
        <f t="shared" si="16"/>
        <v>7.</v>
      </c>
      <c r="AL15" s="130" t="str">
        <f t="shared" si="3"/>
        <v>Плата за негативное воздействие на окружающую среду</v>
      </c>
      <c r="AM15" s="132">
        <f>('Т 3'!AQ7+'Т 3'!AQ12+'Т 3'!AQ17+'Т 3'!AQ22+'Т 3'!AQ27+'Т 3'!AQ32+'Т 3'!AQ37+'Т 3'!AQ42+'Т 3'!AQ47+'Т 3'!AQ52)*$B$25*$C$25</f>
        <v>110.4</v>
      </c>
      <c r="AN15" s="132">
        <f>('Т 3'!AR7+'Т 3'!AR12+'Т 3'!AR17+'Т 3'!AR22+'Т 3'!AR27+'Т 3'!AR32+'Т 3'!AR37+'Т 3'!AR42+'Т 3'!AR47+'Т 3'!AR52)*$B$25*$C$25</f>
        <v>110.4</v>
      </c>
      <c r="AO15" s="132">
        <f>('Т 3'!AS7+'Т 3'!AS12+'Т 3'!AS17+'Т 3'!AS22+'Т 3'!AS27+'Т 3'!AS32+'Т 3'!AS37+'Т 3'!AS42+'Т 3'!AS47+'Т 3'!AS52)*$B$25*$C$25</f>
        <v>110.4</v>
      </c>
      <c r="AP15" s="132">
        <f>('Т 3'!AT7+'Т 3'!AT12+'Т 3'!AT17+'Т 3'!AT22+'Т 3'!AT27+'Т 3'!AT32+'Т 3'!AT37+'Т 3'!AT42+'Т 3'!AT47+'Т 3'!AT52)*$B$25*$C$25</f>
        <v>110.4</v>
      </c>
      <c r="AQ15" s="141">
        <f t="shared" si="11"/>
        <v>441.6</v>
      </c>
      <c r="AR15" s="132">
        <f>('Т 3'!AV7+'Т 3'!AV12+'Т 3'!AV17+'Т 3'!AV22+'Т 3'!AV27+'Т 3'!AV32+'Т 3'!AV37+'Т 3'!AV42+'Т 3'!AV47+'Т 3'!AV52)*$B$25*$C$25</f>
        <v>110.4</v>
      </c>
      <c r="AS15" s="132">
        <f>('Т 3'!AW7+'Т 3'!AW12+'Т 3'!AW17+'Т 3'!AW22+'Т 3'!AW27+'Т 3'!AW32+'Т 3'!AW37+'Т 3'!AW42+'Т 3'!AW47+'Т 3'!AW52)*$B$25*$C$25</f>
        <v>110.4</v>
      </c>
      <c r="AT15" s="132">
        <f>('Т 3'!AX7+'Т 3'!AX12+'Т 3'!AX17+'Т 3'!AX22+'Т 3'!AX27+'Т 3'!AX32+'Т 3'!AX37+'Т 3'!AX42+'Т 3'!AX47+'Т 3'!AX52)*$B$25*$C$25</f>
        <v>110.4</v>
      </c>
      <c r="AU15" s="132">
        <f>('Т 3'!AY7+'Т 3'!AY12+'Т 3'!AY17+'Т 3'!AY22+'Т 3'!AY27+'Т 3'!AY32+'Т 3'!AY37+'Т 3'!AY42+'Т 3'!AY47+'Т 3'!AY52)*$B$25*$C$25</f>
        <v>110.4</v>
      </c>
      <c r="AV15" s="141">
        <f t="shared" si="12"/>
        <v>441.6</v>
      </c>
    </row>
    <row r="16" spans="1:48" ht="12.6" customHeight="1">
      <c r="A16" s="136" t="s">
        <v>190</v>
      </c>
      <c r="B16" s="137" t="s">
        <v>259</v>
      </c>
      <c r="C16" s="132">
        <v>0</v>
      </c>
      <c r="D16" s="132">
        <f t="shared" ref="D16:L16" si="17">C16</f>
        <v>0</v>
      </c>
      <c r="E16" s="132">
        <f t="shared" si="17"/>
        <v>0</v>
      </c>
      <c r="F16" s="132">
        <f t="shared" si="17"/>
        <v>0</v>
      </c>
      <c r="G16" s="141">
        <f t="shared" si="17"/>
        <v>0</v>
      </c>
      <c r="H16" s="132">
        <f t="shared" si="17"/>
        <v>0</v>
      </c>
      <c r="I16" s="132">
        <f t="shared" si="17"/>
        <v>0</v>
      </c>
      <c r="J16" s="132">
        <f t="shared" si="17"/>
        <v>0</v>
      </c>
      <c r="K16" s="132">
        <f t="shared" si="17"/>
        <v>0</v>
      </c>
      <c r="L16" s="141">
        <f t="shared" si="17"/>
        <v>0</v>
      </c>
      <c r="M16" s="136" t="str">
        <f t="shared" si="14"/>
        <v>8.</v>
      </c>
      <c r="N16" s="137" t="str">
        <f t="shared" si="13"/>
        <v>Прочие налоги и сборы</v>
      </c>
      <c r="O16" s="132">
        <f>L16</f>
        <v>0</v>
      </c>
      <c r="P16" s="132">
        <f t="shared" ref="P16:X16" si="18">O16</f>
        <v>0</v>
      </c>
      <c r="Q16" s="132">
        <f t="shared" si="18"/>
        <v>0</v>
      </c>
      <c r="R16" s="132">
        <f t="shared" si="18"/>
        <v>0</v>
      </c>
      <c r="S16" s="141">
        <f t="shared" si="18"/>
        <v>0</v>
      </c>
      <c r="T16" s="132">
        <f t="shared" si="18"/>
        <v>0</v>
      </c>
      <c r="U16" s="132">
        <f t="shared" si="18"/>
        <v>0</v>
      </c>
      <c r="V16" s="132">
        <f t="shared" si="18"/>
        <v>0</v>
      </c>
      <c r="W16" s="132">
        <f t="shared" si="18"/>
        <v>0</v>
      </c>
      <c r="X16" s="141">
        <f t="shared" si="18"/>
        <v>0</v>
      </c>
      <c r="Y16" s="136" t="str">
        <f t="shared" si="15"/>
        <v>8.</v>
      </c>
      <c r="Z16" s="137" t="str">
        <f t="shared" si="1"/>
        <v>Прочие налоги и сборы</v>
      </c>
      <c r="AA16" s="132">
        <f>X16</f>
        <v>0</v>
      </c>
      <c r="AB16" s="132">
        <f>AA16</f>
        <v>0</v>
      </c>
      <c r="AC16" s="132">
        <f>AB16</f>
        <v>0</v>
      </c>
      <c r="AD16" s="132">
        <f>AC16</f>
        <v>0</v>
      </c>
      <c r="AE16" s="141">
        <f>AD16</f>
        <v>0</v>
      </c>
      <c r="AF16" s="132">
        <f>AC16</f>
        <v>0</v>
      </c>
      <c r="AG16" s="132">
        <f>AF16</f>
        <v>0</v>
      </c>
      <c r="AH16" s="132">
        <f>AG16</f>
        <v>0</v>
      </c>
      <c r="AI16" s="132">
        <f>AH16</f>
        <v>0</v>
      </c>
      <c r="AJ16" s="141">
        <f>AI16</f>
        <v>0</v>
      </c>
      <c r="AK16" s="136" t="str">
        <f t="shared" si="16"/>
        <v>8.</v>
      </c>
      <c r="AL16" s="137" t="str">
        <f t="shared" si="3"/>
        <v>Прочие налоги и сборы</v>
      </c>
      <c r="AM16" s="132">
        <f>AJ16</f>
        <v>0</v>
      </c>
      <c r="AN16" s="132">
        <f>AM16</f>
        <v>0</v>
      </c>
      <c r="AO16" s="132">
        <f>AN16</f>
        <v>0</v>
      </c>
      <c r="AP16" s="132">
        <f>AO16</f>
        <v>0</v>
      </c>
      <c r="AQ16" s="141">
        <f>AP16</f>
        <v>0</v>
      </c>
      <c r="AR16" s="132">
        <f>AO16</f>
        <v>0</v>
      </c>
      <c r="AS16" s="132">
        <f>AR16</f>
        <v>0</v>
      </c>
      <c r="AT16" s="132">
        <f>AS16</f>
        <v>0</v>
      </c>
      <c r="AU16" s="132">
        <f>AT16</f>
        <v>0</v>
      </c>
      <c r="AV16" s="141">
        <f>AU16</f>
        <v>0</v>
      </c>
    </row>
    <row r="17" spans="1:48" ht="22.65" customHeight="1">
      <c r="A17" s="347" t="s">
        <v>193</v>
      </c>
      <c r="B17" s="130" t="s">
        <v>260</v>
      </c>
      <c r="C17" s="141">
        <f>C18+C19</f>
        <v>0</v>
      </c>
      <c r="D17" s="141">
        <f>D18+D19</f>
        <v>0</v>
      </c>
      <c r="E17" s="141">
        <f>E18+E19</f>
        <v>0</v>
      </c>
      <c r="F17" s="141">
        <f>F18+F19</f>
        <v>0</v>
      </c>
      <c r="G17" s="141">
        <f>C17+D17+E17+F17</f>
        <v>0</v>
      </c>
      <c r="H17" s="141">
        <f>H18+H19</f>
        <v>7852.8450811299426</v>
      </c>
      <c r="I17" s="141">
        <f>I18+I19</f>
        <v>7834.4679653107332</v>
      </c>
      <c r="J17" s="141">
        <f>J18+J19</f>
        <v>7816.0908494915238</v>
      </c>
      <c r="K17" s="141">
        <f>K18+K19</f>
        <v>7797.7137336723154</v>
      </c>
      <c r="L17" s="141">
        <f>H17+I17+J17+K17</f>
        <v>31301.117629604516</v>
      </c>
      <c r="M17" s="347" t="str">
        <f t="shared" si="14"/>
        <v>9.</v>
      </c>
      <c r="N17" s="130" t="str">
        <f t="shared" si="13"/>
        <v>Все сумма налогов и сборов, в т.ч.:</v>
      </c>
      <c r="O17" s="141">
        <f>O18+O19</f>
        <v>12171.199143943308</v>
      </c>
      <c r="P17" s="141">
        <f>P18+P19</f>
        <v>12152.822028124099</v>
      </c>
      <c r="Q17" s="141">
        <f>Q18+Q19</f>
        <v>12134.444912304891</v>
      </c>
      <c r="R17" s="141">
        <f>R18+R19</f>
        <v>12116.06779648568</v>
      </c>
      <c r="S17" s="141">
        <f>O17+P17+Q17+R17</f>
        <v>48574.533880857976</v>
      </c>
      <c r="T17" s="141">
        <f>T18+T19</f>
        <v>12097.690680666472</v>
      </c>
      <c r="U17" s="141">
        <f>U18+U19</f>
        <v>12079.313564847263</v>
      </c>
      <c r="V17" s="141">
        <f>V18+V19</f>
        <v>12060.936449028053</v>
      </c>
      <c r="W17" s="141">
        <f>W18+W19</f>
        <v>12042.559333208845</v>
      </c>
      <c r="X17" s="141">
        <f>T17+U17+V17+W17</f>
        <v>48280.500027750633</v>
      </c>
      <c r="Y17" s="347" t="str">
        <f t="shared" si="15"/>
        <v>9.</v>
      </c>
      <c r="Z17" s="130" t="str">
        <f t="shared" si="1"/>
        <v>Все сумма налогов и сборов, в т.ч.:</v>
      </c>
      <c r="AA17" s="141">
        <f>AA18+AA19</f>
        <v>12024.182217389636</v>
      </c>
      <c r="AB17" s="141">
        <f>AB18+AB19</f>
        <v>12005.805101570426</v>
      </c>
      <c r="AC17" s="141">
        <f>AC18+AC19</f>
        <v>11987.427985751216</v>
      </c>
      <c r="AD17" s="141">
        <f>AD18+AD19</f>
        <v>11969.050869932009</v>
      </c>
      <c r="AE17" s="141">
        <f>AA17+AB17+AC17+AD17</f>
        <v>47986.466174643283</v>
      </c>
      <c r="AF17" s="141">
        <f>AF18+AF19</f>
        <v>11950.673754112799</v>
      </c>
      <c r="AG17" s="141">
        <f>AG18+AG19</f>
        <v>11932.296638293588</v>
      </c>
      <c r="AH17" s="141">
        <f>AH18+AH19</f>
        <v>11913.91952247438</v>
      </c>
      <c r="AI17" s="141">
        <f>AI18+AI19</f>
        <v>11895.542406655171</v>
      </c>
      <c r="AJ17" s="141">
        <f>AF17+AG17+AH17+AI17</f>
        <v>47692.43232153594</v>
      </c>
      <c r="AK17" s="347" t="str">
        <f t="shared" si="16"/>
        <v>9.</v>
      </c>
      <c r="AL17" s="130" t="str">
        <f t="shared" si="3"/>
        <v>Все сумма налогов и сборов, в т.ч.:</v>
      </c>
      <c r="AM17" s="141">
        <f>AM18+AM19</f>
        <v>11877.165290835961</v>
      </c>
      <c r="AN17" s="141">
        <f>AN18+AN19</f>
        <v>11858.788175016753</v>
      </c>
      <c r="AO17" s="141">
        <f>AO18+AO19</f>
        <v>11840.411059197542</v>
      </c>
      <c r="AP17" s="141">
        <f>AP18+AP19</f>
        <v>11822.033943378334</v>
      </c>
      <c r="AQ17" s="141">
        <f>AM17+AN17+AO17+AP17</f>
        <v>47398.398468428582</v>
      </c>
      <c r="AR17" s="141">
        <f>AR18+AR19</f>
        <v>11803.656827559123</v>
      </c>
      <c r="AS17" s="141">
        <f>AS18+AS19</f>
        <v>11785.279711739913</v>
      </c>
      <c r="AT17" s="141">
        <f>AT18+AT19</f>
        <v>11766.902595920707</v>
      </c>
      <c r="AU17" s="141">
        <f>AU18+AU19</f>
        <v>11748.525480101498</v>
      </c>
      <c r="AV17" s="141">
        <f>AR17+AS17+AT17+AU17</f>
        <v>47104.364615321239</v>
      </c>
    </row>
    <row r="18" spans="1:48" ht="12.6" customHeight="1">
      <c r="A18" s="323"/>
      <c r="B18" s="201" t="s">
        <v>261</v>
      </c>
      <c r="C18" s="132">
        <f>C6+C11+C13*(1-'Исходные данные'!$C$103)+C15*(1-'Исходные данные'!$C$106)</f>
        <v>0</v>
      </c>
      <c r="D18" s="132">
        <f>D6+D11+D13*(1-'Исходные данные'!$C$103)+D15*(1-'Исходные данные'!$C$106)</f>
        <v>0</v>
      </c>
      <c r="E18" s="132">
        <f>E6+E11+E13*(1-'Исходные данные'!$C$103)+E15*(1-'Исходные данные'!$C$106)</f>
        <v>0</v>
      </c>
      <c r="F18" s="132">
        <f>F6+F11+F13*(1-'Исходные данные'!$C$103)+F15*(1-'Исходные данные'!$C$106)</f>
        <v>0</v>
      </c>
      <c r="G18" s="132">
        <f>C18+D18+E18+F18</f>
        <v>0</v>
      </c>
      <c r="H18" s="132">
        <f>H6+H11+H13*(1-'Исходные данные'!$C$103)+H15*(1-'Исходные данные'!$C$106)</f>
        <v>2096.4504041228811</v>
      </c>
      <c r="I18" s="132">
        <f>I6+I11+I13*(1-'Исходные данные'!$C$103)+I15*(1-'Исходные данные'!$C$106)</f>
        <v>2096.9098320183612</v>
      </c>
      <c r="J18" s="132">
        <f>J6+J11+J13*(1-'Исходные данные'!$C$103)+J15*(1-'Исходные данные'!$C$106)</f>
        <v>2097.3692599138417</v>
      </c>
      <c r="K18" s="132">
        <f>K6+K11+K13*(1-'Исходные данные'!$C$103)+K15*(1-'Исходные данные'!$C$106)</f>
        <v>2097.8286878093218</v>
      </c>
      <c r="L18" s="132">
        <f>H18+I18+J18+K18</f>
        <v>8388.5581838644066</v>
      </c>
      <c r="M18" s="323"/>
      <c r="N18" s="137" t="str">
        <f t="shared" si="13"/>
        <v xml:space="preserve">   федеральные</v>
      </c>
      <c r="O18" s="132">
        <f>O6+O11+O13*(1-'Исходные данные'!$C$103)+O15*(1-'Исходные данные'!$C$106)</f>
        <v>7478.3197101653013</v>
      </c>
      <c r="P18" s="132">
        <f>P6+P11+P13*(1-'Исходные данные'!$C$103)+P15*(1-'Исходные данные'!$C$106)</f>
        <v>7478.7791380607814</v>
      </c>
      <c r="Q18" s="132">
        <f>Q6+Q11+Q13*(1-'Исходные данные'!$C$103)+Q15*(1-'Исходные данные'!$C$106)</f>
        <v>7479.2385659562615</v>
      </c>
      <c r="R18" s="132">
        <f>R6+R11+R13*(1-'Исходные данные'!$C$103)+R15*(1-'Исходные данные'!$C$106)</f>
        <v>7479.6979938517416</v>
      </c>
      <c r="S18" s="132">
        <f>O18+P18+Q18+R18</f>
        <v>29916.035408034084</v>
      </c>
      <c r="T18" s="132">
        <f>T6+T11+T13*(1-'Исходные данные'!$C$103)+T15*(1-'Исходные данные'!$C$106)</f>
        <v>7480.1574217472216</v>
      </c>
      <c r="U18" s="132">
        <f>U6+U11+U13*(1-'Исходные данные'!$C$103)+U15*(1-'Исходные данные'!$C$106)</f>
        <v>7480.6168496427026</v>
      </c>
      <c r="V18" s="132">
        <f>V6+V11+V13*(1-'Исходные данные'!$C$103)+V15*(1-'Исходные данные'!$C$106)</f>
        <v>7481.0762775381827</v>
      </c>
      <c r="W18" s="132">
        <f>W6+W11+W13*(1-'Исходные данные'!$C$103)+W15*(1-'Исходные данные'!$C$106)</f>
        <v>7481.5357054336628</v>
      </c>
      <c r="X18" s="132">
        <f>T18+U18+V18+W18</f>
        <v>29923.386254361772</v>
      </c>
      <c r="Y18" s="323"/>
      <c r="Z18" s="137" t="str">
        <f t="shared" si="1"/>
        <v xml:space="preserve">   федеральные</v>
      </c>
      <c r="AA18" s="132">
        <f>AA6+AA11+AA13*(1-'Исходные данные'!$C$103)+AA15*(1-'Исходные данные'!$C$106)</f>
        <v>7481.9951333291428</v>
      </c>
      <c r="AB18" s="132">
        <f>AB6+AB11+AB13*(1-'Исходные данные'!$C$103)+AB15*(1-'Исходные данные'!$C$106)</f>
        <v>7482.4545612246229</v>
      </c>
      <c r="AC18" s="132">
        <f>AC6+AC11+AC13*(1-'Исходные данные'!$C$103)+AC15*(1-'Исходные данные'!$C$106)</f>
        <v>7482.913989120103</v>
      </c>
      <c r="AD18" s="132">
        <f>AD6+AD11+AD13*(1-'Исходные данные'!$C$103)+AD15*(1-'Исходные данные'!$C$106)</f>
        <v>7483.373417015584</v>
      </c>
      <c r="AE18" s="132">
        <f>AA18+AB18+AC18+AD18</f>
        <v>29930.73710068945</v>
      </c>
      <c r="AF18" s="132">
        <f>AF6+AF11+AF13*(1-'Исходные данные'!$C$103)+AF15*(1-'Исходные данные'!$C$106)</f>
        <v>7483.8328449110641</v>
      </c>
      <c r="AG18" s="132">
        <f>AG6+AG11+AG13*(1-'Исходные данные'!$C$103)+AG15*(1-'Исходные данные'!$C$106)</f>
        <v>7484.2922728065441</v>
      </c>
      <c r="AH18" s="132">
        <f>AH6+AH11+AH13*(1-'Исходные данные'!$C$103)+AH15*(1-'Исходные данные'!$C$106)</f>
        <v>7484.7517007020242</v>
      </c>
      <c r="AI18" s="132">
        <f>AI6+AI11+AI13*(1-'Исходные данные'!$C$103)+AI15*(1-'Исходные данные'!$C$106)</f>
        <v>7485.2111285975043</v>
      </c>
      <c r="AJ18" s="132">
        <f>AF18+AG18+AH18+AI18</f>
        <v>29938.087947017139</v>
      </c>
      <c r="AK18" s="323"/>
      <c r="AL18" s="130" t="str">
        <f t="shared" si="3"/>
        <v xml:space="preserve">   федеральные</v>
      </c>
      <c r="AM18" s="132">
        <f>AM6+AM11+AM13*(1-'Исходные данные'!$C$103)+AM15*(1-'Исходные данные'!$C$106)</f>
        <v>7485.6705564929844</v>
      </c>
      <c r="AN18" s="132">
        <f>AN6+AN11+AN13*(1-'Исходные данные'!$C$103)+AN15*(1-'Исходные данные'!$C$106)</f>
        <v>7486.1299843884653</v>
      </c>
      <c r="AO18" s="132">
        <f>AO6+AO11+AO13*(1-'Исходные данные'!$C$103)+AO15*(1-'Исходные данные'!$C$106)</f>
        <v>7486.5894122839454</v>
      </c>
      <c r="AP18" s="132">
        <f>AP6+AP11+AP13*(1-'Исходные данные'!$C$103)+AP15*(1-'Исходные данные'!$C$106)</f>
        <v>7487.0488401794255</v>
      </c>
      <c r="AQ18" s="132">
        <f>AM18+AN18+AO18+AP18</f>
        <v>29945.43879334482</v>
      </c>
      <c r="AR18" s="132">
        <f>AR6+AR11+AR13*(1-'Исходные данные'!$C$103)+AR15*(1-'Исходные данные'!$C$106)</f>
        <v>7487.5082680749056</v>
      </c>
      <c r="AS18" s="132">
        <f>AS6+AS11+AS13*(1-'Исходные данные'!$C$103)+AS15*(1-'Исходные данные'!$C$106)</f>
        <v>7487.9676959703856</v>
      </c>
      <c r="AT18" s="132">
        <f>AT6+AT11+AT13*(1-'Исходные данные'!$C$103)+AT15*(1-'Исходные данные'!$C$106)</f>
        <v>7488.4271238658657</v>
      </c>
      <c r="AU18" s="132">
        <f>AU6+AU11+AU13*(1-'Исходные данные'!$C$103)+AU15*(1-'Исходные данные'!$C$106)</f>
        <v>7488.8865517613467</v>
      </c>
      <c r="AV18" s="132">
        <f>AR18+AS18+AT18+AU18</f>
        <v>29952.789639672505</v>
      </c>
    </row>
    <row r="19" spans="1:48" ht="12.6" customHeight="1">
      <c r="A19" s="323"/>
      <c r="B19" s="201" t="s">
        <v>262</v>
      </c>
      <c r="C19" s="132">
        <f>C10+C13*'Исходные данные'!$C$103+C14+C15</f>
        <v>0</v>
      </c>
      <c r="D19" s="132">
        <f>D10+D13*'Исходные данные'!$C$103+D14+D15</f>
        <v>0</v>
      </c>
      <c r="E19" s="132">
        <f>E10+E13*'Исходные данные'!$C$103+E14+E15</f>
        <v>0</v>
      </c>
      <c r="F19" s="132">
        <f>F10+F13*'Исходные данные'!$C$103+F14+F15</f>
        <v>0</v>
      </c>
      <c r="G19" s="132">
        <f>C19+D19+E19+F19</f>
        <v>0</v>
      </c>
      <c r="H19" s="132">
        <f>H10+H13*'Исходные данные'!$C$103+H14+H15</f>
        <v>5756.3946770070615</v>
      </c>
      <c r="I19" s="132">
        <f>I10+I13*'Исходные данные'!$C$103+I14+I15</f>
        <v>5737.5581332923721</v>
      </c>
      <c r="J19" s="132">
        <f>J10+J13*'Исходные данные'!$C$103+J14+J15</f>
        <v>5718.7215895776826</v>
      </c>
      <c r="K19" s="132">
        <f>K10+K13*'Исходные данные'!$C$103+K14+K15</f>
        <v>5699.8850458629931</v>
      </c>
      <c r="L19" s="132">
        <f>H19+I19+J19+K19</f>
        <v>22912.559445740109</v>
      </c>
      <c r="M19" s="323"/>
      <c r="N19" s="137" t="str">
        <f t="shared" si="13"/>
        <v xml:space="preserve">   региональные</v>
      </c>
      <c r="O19" s="132">
        <f>O10+O13*'Исходные данные'!$C$103+O14+O15</f>
        <v>4692.8794337780073</v>
      </c>
      <c r="P19" s="132">
        <f>P10+P13*'Исходные данные'!$C$103+P14+P15</f>
        <v>4674.0428900633178</v>
      </c>
      <c r="Q19" s="132">
        <f>Q10+Q13*'Исходные данные'!$C$103+Q14+Q15</f>
        <v>4655.2063463486284</v>
      </c>
      <c r="R19" s="132">
        <f>R10+R13*'Исходные данные'!$C$103+R14+R15</f>
        <v>4636.3698026339398</v>
      </c>
      <c r="S19" s="132">
        <f>O19+P19+Q19+R19</f>
        <v>18658.498472823892</v>
      </c>
      <c r="T19" s="132">
        <f>T10+T13*'Исходные данные'!$C$103+T14+T15</f>
        <v>4617.5332589192503</v>
      </c>
      <c r="U19" s="132">
        <f>U10+U13*'Исходные данные'!$C$103+U14+U15</f>
        <v>4598.69671520456</v>
      </c>
      <c r="V19" s="132">
        <f>V10+V13*'Исходные данные'!$C$103+V14+V15</f>
        <v>4579.8601714898705</v>
      </c>
      <c r="W19" s="132">
        <f>W10+W13*'Исходные данные'!$C$103+W14+W15</f>
        <v>4561.0236277751819</v>
      </c>
      <c r="X19" s="132">
        <f>T19+U19+V19+W19</f>
        <v>18357.113773388861</v>
      </c>
      <c r="Y19" s="323"/>
      <c r="Z19" s="137" t="str">
        <f t="shared" si="1"/>
        <v xml:space="preserve">   региональные</v>
      </c>
      <c r="AA19" s="132">
        <f>AA10+AA13*'Исходные данные'!$C$103+AA14+AA15</f>
        <v>4542.1870840604925</v>
      </c>
      <c r="AB19" s="132">
        <f>AB10+AB13*'Исходные данные'!$C$103+AB14+AB15</f>
        <v>4523.350540345803</v>
      </c>
      <c r="AC19" s="132">
        <f>AC10+AC13*'Исходные данные'!$C$103+AC14+AC15</f>
        <v>4504.5139966311135</v>
      </c>
      <c r="AD19" s="132">
        <f>AD10+AD13*'Исходные данные'!$C$103+AD14+AD15</f>
        <v>4485.677452916424</v>
      </c>
      <c r="AE19" s="132">
        <f>AA19+AB19+AC19+AD19</f>
        <v>18055.729073953833</v>
      </c>
      <c r="AF19" s="132">
        <f>AF10+AF13*'Исходные данные'!$C$103+AF14+AF15</f>
        <v>4466.8409092017346</v>
      </c>
      <c r="AG19" s="132">
        <f>AG10+AG13*'Исходные данные'!$C$103+AG14+AG15</f>
        <v>4448.0043654870451</v>
      </c>
      <c r="AH19" s="132">
        <f>AH10+AH13*'Исходные данные'!$C$103+AH14+AH15</f>
        <v>4429.1678217723556</v>
      </c>
      <c r="AI19" s="132">
        <f>AI10+AI13*'Исходные данные'!$C$103+AI14+AI15</f>
        <v>4410.3312780576662</v>
      </c>
      <c r="AJ19" s="132">
        <f>AF19+AG19+AH19+AI19</f>
        <v>17754.344374518801</v>
      </c>
      <c r="AK19" s="323"/>
      <c r="AL19" s="130" t="str">
        <f t="shared" si="3"/>
        <v xml:space="preserve">   региональные</v>
      </c>
      <c r="AM19" s="132">
        <f>AM10+AM13*'Исходные данные'!$C$103+AM14+AM15</f>
        <v>4391.4947343429767</v>
      </c>
      <c r="AN19" s="132">
        <f>AN10+AN13*'Исходные данные'!$C$103+AN14+AN15</f>
        <v>4372.6581906282872</v>
      </c>
      <c r="AO19" s="132">
        <f>AO10+AO13*'Исходные данные'!$C$103+AO14+AO15</f>
        <v>4353.8216469135969</v>
      </c>
      <c r="AP19" s="132">
        <f>AP10+AP13*'Исходные данные'!$C$103+AP14+AP15</f>
        <v>4334.9851031989083</v>
      </c>
      <c r="AQ19" s="132">
        <f>AM19+AN19+AO19+AP19</f>
        <v>17452.95967508377</v>
      </c>
      <c r="AR19" s="132">
        <f>AR10+AR13*'Исходные данные'!$C$103+AR14+AR15</f>
        <v>4316.1485594842188</v>
      </c>
      <c r="AS19" s="132">
        <f>AS10+AS13*'Исходные данные'!$C$103+AS14+AS15</f>
        <v>4297.3120157695284</v>
      </c>
      <c r="AT19" s="132">
        <f>AT10+AT13*'Исходные данные'!$C$103+AT14+AT15</f>
        <v>4278.4754720548399</v>
      </c>
      <c r="AU19" s="132">
        <f>AU10+AU13*'Исходные данные'!$C$103+AU14+AU15</f>
        <v>4259.6389283401513</v>
      </c>
      <c r="AV19" s="132">
        <f>AR19+AS19+AT19+AU19</f>
        <v>17151.574975648738</v>
      </c>
    </row>
    <row r="20" spans="1:48" ht="12.6" customHeight="1">
      <c r="A20" s="323"/>
      <c r="B20" s="201" t="s">
        <v>263</v>
      </c>
      <c r="C20" s="132">
        <f>C12</f>
        <v>173.875</v>
      </c>
      <c r="D20" s="132">
        <f>D12</f>
        <v>173.875</v>
      </c>
      <c r="E20" s="132">
        <f>E12</f>
        <v>173.875</v>
      </c>
      <c r="F20" s="132">
        <f>F12</f>
        <v>173.875</v>
      </c>
      <c r="G20" s="132">
        <f>C20+D20+E20+F20</f>
        <v>695.5</v>
      </c>
      <c r="H20" s="132">
        <f>H12</f>
        <v>173.875</v>
      </c>
      <c r="I20" s="132">
        <f>I12</f>
        <v>173.875</v>
      </c>
      <c r="J20" s="132">
        <f>J12</f>
        <v>173.875</v>
      </c>
      <c r="K20" s="132">
        <f>K12</f>
        <v>173.875</v>
      </c>
      <c r="L20" s="132">
        <f>H20+I20+J20+K20</f>
        <v>695.5</v>
      </c>
      <c r="M20" s="323"/>
      <c r="N20" s="137" t="str">
        <f t="shared" si="13"/>
        <v xml:space="preserve">   местные</v>
      </c>
      <c r="O20" s="132">
        <f>O12</f>
        <v>173.875</v>
      </c>
      <c r="P20" s="132">
        <f>P12</f>
        <v>173.875</v>
      </c>
      <c r="Q20" s="132">
        <f>Q12</f>
        <v>173.875</v>
      </c>
      <c r="R20" s="132">
        <f>R12</f>
        <v>173.875</v>
      </c>
      <c r="S20" s="132">
        <f>O20+P20+Q20+R20</f>
        <v>695.5</v>
      </c>
      <c r="T20" s="132">
        <f>T12</f>
        <v>173.875</v>
      </c>
      <c r="U20" s="132">
        <f>U12</f>
        <v>173.875</v>
      </c>
      <c r="V20" s="132">
        <f>V12</f>
        <v>173.875</v>
      </c>
      <c r="W20" s="132">
        <f>W12</f>
        <v>173.875</v>
      </c>
      <c r="X20" s="132">
        <f>T20+U20+V20+W20</f>
        <v>695.5</v>
      </c>
      <c r="Y20" s="323"/>
      <c r="Z20" s="137" t="str">
        <f t="shared" si="1"/>
        <v xml:space="preserve">   местные</v>
      </c>
      <c r="AA20" s="132">
        <f>AA12</f>
        <v>173.875</v>
      </c>
      <c r="AB20" s="132">
        <f>AB12</f>
        <v>173.875</v>
      </c>
      <c r="AC20" s="132">
        <f>AC12</f>
        <v>173.875</v>
      </c>
      <c r="AD20" s="132">
        <f>AD12</f>
        <v>173.875</v>
      </c>
      <c r="AE20" s="132">
        <f>AA20+AB20+AC20+AD20</f>
        <v>695.5</v>
      </c>
      <c r="AF20" s="132">
        <f>AF12</f>
        <v>173.875</v>
      </c>
      <c r="AG20" s="132">
        <f>AG12</f>
        <v>173.875</v>
      </c>
      <c r="AH20" s="132">
        <f>AH12</f>
        <v>173.875</v>
      </c>
      <c r="AI20" s="132">
        <f>AI12</f>
        <v>173.875</v>
      </c>
      <c r="AJ20" s="132">
        <f>AF20+AG20+AH20+AI20</f>
        <v>695.5</v>
      </c>
      <c r="AK20" s="323"/>
      <c r="AL20" s="202" t="str">
        <f t="shared" si="3"/>
        <v xml:space="preserve">   местные</v>
      </c>
      <c r="AM20" s="132">
        <f>AM12</f>
        <v>173.875</v>
      </c>
      <c r="AN20" s="132">
        <f>AN12</f>
        <v>173.875</v>
      </c>
      <c r="AO20" s="132">
        <f>AO12</f>
        <v>173.875</v>
      </c>
      <c r="AP20" s="132">
        <f>AP12</f>
        <v>173.875</v>
      </c>
      <c r="AQ20" s="132">
        <f>AM20+AN20+AO20+AP20</f>
        <v>695.5</v>
      </c>
      <c r="AR20" s="132">
        <f>AR12</f>
        <v>173.875</v>
      </c>
      <c r="AS20" s="132">
        <f>AS12</f>
        <v>173.875</v>
      </c>
      <c r="AT20" s="132">
        <f>AT12</f>
        <v>173.875</v>
      </c>
      <c r="AU20" s="132">
        <f>AU12</f>
        <v>173.875</v>
      </c>
      <c r="AV20" s="132">
        <f>AR20+AS20+AT20+AU20</f>
        <v>695.5</v>
      </c>
    </row>
    <row r="21" spans="1:48" ht="15" customHeight="1">
      <c r="A21" s="18"/>
      <c r="B21" s="18"/>
      <c r="C21" s="18"/>
      <c r="D21" s="18"/>
      <c r="E21" s="18"/>
      <c r="F21" s="18"/>
      <c r="G21" s="35">
        <v>0</v>
      </c>
      <c r="H21" s="18"/>
      <c r="I21" s="18"/>
      <c r="J21" s="18"/>
      <c r="K21" s="18"/>
      <c r="L21" s="35">
        <v>1</v>
      </c>
      <c r="M21" s="18"/>
      <c r="N21" s="18"/>
      <c r="O21" s="18"/>
      <c r="P21" s="18"/>
      <c r="Q21" s="18"/>
      <c r="R21" s="18"/>
      <c r="S21" s="35">
        <v>2</v>
      </c>
      <c r="T21" s="18"/>
      <c r="U21" s="18"/>
      <c r="V21" s="18"/>
      <c r="W21" s="18"/>
      <c r="X21" s="35">
        <v>3</v>
      </c>
      <c r="Y21" s="18"/>
      <c r="Z21" s="18"/>
      <c r="AA21" s="18"/>
      <c r="AB21" s="18"/>
      <c r="AC21" s="18"/>
      <c r="AD21" s="18"/>
      <c r="AE21" s="35">
        <v>4</v>
      </c>
      <c r="AF21" s="18"/>
      <c r="AG21" s="18"/>
      <c r="AH21" s="18"/>
      <c r="AI21" s="18"/>
      <c r="AJ21" s="35">
        <v>5</v>
      </c>
      <c r="AK21" s="18"/>
      <c r="AL21" s="2"/>
      <c r="AM21" s="18"/>
      <c r="AN21" s="18"/>
      <c r="AO21" s="18"/>
      <c r="AP21" s="18"/>
      <c r="AQ21" s="35">
        <v>6</v>
      </c>
      <c r="AR21" s="18"/>
      <c r="AS21" s="18"/>
      <c r="AT21" s="18"/>
      <c r="AU21" s="18"/>
      <c r="AV21" s="35">
        <v>7</v>
      </c>
    </row>
    <row r="22" spans="1:48" ht="15" customHeight="1">
      <c r="A22" s="2"/>
      <c r="B22" s="2"/>
      <c r="C22" s="2"/>
      <c r="D22" s="2"/>
      <c r="E22" s="2"/>
      <c r="F22" s="2"/>
      <c r="G22" s="2"/>
      <c r="H22" s="146">
        <f>H7-H8+H9</f>
        <v>14453.726462697501</v>
      </c>
      <c r="I22" s="146">
        <f>I7-I8+I9+H22</f>
        <v>28907.452925395002</v>
      </c>
      <c r="J22" s="146">
        <f>J7-J8+J9+I22</f>
        <v>52208.637015211149</v>
      </c>
      <c r="K22" s="146">
        <f>K7-K8+K9</f>
        <v>23301.184089816143</v>
      </c>
      <c r="L22" s="2"/>
      <c r="M22" s="2"/>
      <c r="N22" s="2"/>
      <c r="O22" s="146">
        <f>O9-O7+O8</f>
        <v>-5489.8281576127538</v>
      </c>
      <c r="P22" s="146">
        <f>O22-P7+P8</f>
        <v>-10979.656315225508</v>
      </c>
      <c r="Q22" s="146">
        <f>P22-Q7+Q8</f>
        <v>-16469.484472838263</v>
      </c>
      <c r="R22" s="146">
        <f>Q22-R7+R8</f>
        <v>-21959.312630451019</v>
      </c>
      <c r="S22" s="2"/>
      <c r="T22" s="146">
        <f>R22-T7+T8</f>
        <v>-27449.140788063774</v>
      </c>
      <c r="U22" s="146">
        <f>T22-U7+U8</f>
        <v>-32938.968945676534</v>
      </c>
      <c r="V22" s="146">
        <f>U22-V7+V8</f>
        <v>-38428.797103289289</v>
      </c>
      <c r="W22" s="146">
        <f>V22-W7+W8</f>
        <v>-43918.625260902045</v>
      </c>
      <c r="X22" s="2"/>
      <c r="Y22" s="2"/>
      <c r="Z22" s="2"/>
      <c r="AA22" s="146">
        <f>W22-AA7+AA8</f>
        <v>-49408.4534185148</v>
      </c>
      <c r="AB22" s="146">
        <f>AA22-AB7+AB8</f>
        <v>-54898.281576127556</v>
      </c>
      <c r="AC22" s="146">
        <f>AB22-AC7+AC8</f>
        <v>-60388.109733740312</v>
      </c>
      <c r="AD22" s="146">
        <f>AC22-AD7+AD8</f>
        <v>-65877.937891353067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5" customHeight="1">
      <c r="A24" s="2"/>
      <c r="B24" s="24" t="s">
        <v>264</v>
      </c>
      <c r="C24" s="203" t="s">
        <v>36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5" customHeight="1">
      <c r="A25" s="2"/>
      <c r="B25" s="39">
        <v>0.5</v>
      </c>
      <c r="C25" s="39">
        <v>8.0000000000000002E-3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5" customHeight="1">
      <c r="A26" s="2"/>
      <c r="B26" s="39">
        <v>0.7</v>
      </c>
      <c r="C26" s="39">
        <v>8.0000000000000002E-3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</sheetData>
  <mergeCells count="32">
    <mergeCell ref="Y6:Y9"/>
    <mergeCell ref="AK6:AK9"/>
    <mergeCell ref="AK17:AK20"/>
    <mergeCell ref="A6:A9"/>
    <mergeCell ref="M6:M9"/>
    <mergeCell ref="A17:A20"/>
    <mergeCell ref="M17:M20"/>
    <mergeCell ref="Y17:Y20"/>
    <mergeCell ref="AK1:AV1"/>
    <mergeCell ref="AK2:AV2"/>
    <mergeCell ref="AK3:AK4"/>
    <mergeCell ref="AL3:AL4"/>
    <mergeCell ref="AM3:AQ3"/>
    <mergeCell ref="AR3:AV3"/>
    <mergeCell ref="Y1:AJ1"/>
    <mergeCell ref="Y2:AJ2"/>
    <mergeCell ref="Y3:Y4"/>
    <mergeCell ref="Z3:Z4"/>
    <mergeCell ref="AA3:AE3"/>
    <mergeCell ref="AF3:AJ3"/>
    <mergeCell ref="M1:X1"/>
    <mergeCell ref="M2:X2"/>
    <mergeCell ref="M3:M4"/>
    <mergeCell ref="N3:N4"/>
    <mergeCell ref="O3:S3"/>
    <mergeCell ref="T3:X3"/>
    <mergeCell ref="A1:L1"/>
    <mergeCell ref="A2:L2"/>
    <mergeCell ref="A3:A4"/>
    <mergeCell ref="B3:B4"/>
    <mergeCell ref="C3:G3"/>
    <mergeCell ref="H3:L3"/>
  </mergeCells>
  <pageMargins left="0.78740200000000005" right="0.78740200000000005" top="1.1811" bottom="0.59055100000000005" header="0.51181100000000002" footer="0.51181100000000002"/>
  <pageSetup scale="70" orientation="landscape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1"/>
  <sheetViews>
    <sheetView showGridLines="0" workbookViewId="0">
      <selection activeCell="H18" sqref="H18"/>
    </sheetView>
  </sheetViews>
  <sheetFormatPr defaultColWidth="9.109375" defaultRowHeight="11.4" customHeight="1"/>
  <cols>
    <col min="1" max="1" width="4.5546875" style="204" customWidth="1"/>
    <col min="2" max="2" width="29" style="204" customWidth="1"/>
    <col min="3" max="4" width="9.109375" style="204" customWidth="1"/>
    <col min="5" max="7" width="10.88671875" style="204" customWidth="1"/>
    <col min="8" max="11" width="10.44140625" style="204" customWidth="1"/>
    <col min="12" max="12" width="11.109375" style="204" customWidth="1"/>
    <col min="13" max="13" width="4.5546875" style="204" customWidth="1"/>
    <col min="14" max="14" width="29" style="204" customWidth="1"/>
    <col min="15" max="18" width="11.44140625" style="204" customWidth="1"/>
    <col min="19" max="19" width="11.109375" style="204" customWidth="1"/>
    <col min="20" max="23" width="9.109375" style="204" customWidth="1"/>
    <col min="24" max="24" width="11.109375" style="204" customWidth="1"/>
    <col min="25" max="25" width="4.5546875" style="204" customWidth="1"/>
    <col min="26" max="26" width="29" style="204" customWidth="1"/>
    <col min="27" max="30" width="9.109375" style="204" customWidth="1"/>
    <col min="31" max="31" width="11.109375" style="204" customWidth="1"/>
    <col min="32" max="35" width="9.109375" style="204" customWidth="1"/>
    <col min="36" max="36" width="11.109375" style="204" customWidth="1"/>
    <col min="37" max="37" width="4.5546875" style="204" customWidth="1"/>
    <col min="38" max="38" width="29" style="204" customWidth="1"/>
    <col min="39" max="42" width="9.109375" style="204" customWidth="1"/>
    <col min="43" max="43" width="11.109375" style="204" customWidth="1"/>
    <col min="44" max="47" width="9.109375" style="204" customWidth="1"/>
    <col min="48" max="48" width="11.109375" style="204" customWidth="1"/>
    <col min="49" max="256" width="9.109375" style="204" customWidth="1"/>
  </cols>
  <sheetData>
    <row r="1" spans="1:48" ht="12.6" customHeight="1">
      <c r="A1" s="324" t="s">
        <v>265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24" t="s">
        <v>266</v>
      </c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24" t="s">
        <v>267</v>
      </c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24" t="s">
        <v>267</v>
      </c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</row>
    <row r="2" spans="1:48" ht="12.6" customHeight="1">
      <c r="A2" s="326" t="s">
        <v>268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</row>
    <row r="3" spans="1:48" ht="12.75" customHeight="1">
      <c r="A3" s="316" t="s">
        <v>53</v>
      </c>
      <c r="B3" s="316" t="s">
        <v>104</v>
      </c>
      <c r="C3" s="318" t="str">
        <f>'Исходные данные'!$B$26+G18&amp;" год"</f>
        <v>2021 год</v>
      </c>
      <c r="D3" s="319"/>
      <c r="E3" s="319"/>
      <c r="F3" s="319"/>
      <c r="G3" s="320"/>
      <c r="H3" s="318" t="str">
        <f>'Исходные данные'!$B$26+L18&amp;" год"</f>
        <v>2022 год</v>
      </c>
      <c r="I3" s="319"/>
      <c r="J3" s="319"/>
      <c r="K3" s="319"/>
      <c r="L3" s="320"/>
      <c r="M3" s="316" t="s">
        <v>53</v>
      </c>
      <c r="N3" s="316" t="s">
        <v>104</v>
      </c>
      <c r="O3" s="318" t="str">
        <f>'Исходные данные'!$B$26+S18&amp;" год"</f>
        <v>2023 год</v>
      </c>
      <c r="P3" s="319"/>
      <c r="Q3" s="319"/>
      <c r="R3" s="319"/>
      <c r="S3" s="320"/>
      <c r="T3" s="318" t="str">
        <f>'Исходные данные'!$B$26+X18&amp;" год"</f>
        <v>2024 год</v>
      </c>
      <c r="U3" s="319"/>
      <c r="V3" s="319"/>
      <c r="W3" s="319"/>
      <c r="X3" s="320"/>
      <c r="Y3" s="316" t="s">
        <v>53</v>
      </c>
      <c r="Z3" s="316" t="s">
        <v>104</v>
      </c>
      <c r="AA3" s="318" t="str">
        <f>'Исходные данные'!$B$26+AE18&amp;" год"</f>
        <v>2025 год</v>
      </c>
      <c r="AB3" s="319"/>
      <c r="AC3" s="319"/>
      <c r="AD3" s="319"/>
      <c r="AE3" s="320"/>
      <c r="AF3" s="318" t="str">
        <f>'Исходные данные'!$B$26+AJ18&amp;" год"</f>
        <v>2026 год</v>
      </c>
      <c r="AG3" s="319"/>
      <c r="AH3" s="319"/>
      <c r="AI3" s="319"/>
      <c r="AJ3" s="320"/>
      <c r="AK3" s="316" t="s">
        <v>53</v>
      </c>
      <c r="AL3" s="316" t="s">
        <v>104</v>
      </c>
      <c r="AM3" s="318" t="str">
        <f>'Исходные данные'!$B$26+AQ18&amp;" год"</f>
        <v>2027 год</v>
      </c>
      <c r="AN3" s="319"/>
      <c r="AO3" s="319"/>
      <c r="AP3" s="319"/>
      <c r="AQ3" s="320"/>
      <c r="AR3" s="318" t="str">
        <f>'Исходные данные'!$B$26+AV18&amp;" год"</f>
        <v>2028 год</v>
      </c>
      <c r="AS3" s="319"/>
      <c r="AT3" s="319"/>
      <c r="AU3" s="319"/>
      <c r="AV3" s="320"/>
    </row>
    <row r="4" spans="1:48" ht="12.6" customHeight="1">
      <c r="A4" s="317"/>
      <c r="B4" s="317"/>
      <c r="C4" s="127" t="s">
        <v>58</v>
      </c>
      <c r="D4" s="127" t="s">
        <v>59</v>
      </c>
      <c r="E4" s="127" t="s">
        <v>60</v>
      </c>
      <c r="F4" s="127" t="s">
        <v>61</v>
      </c>
      <c r="G4" s="127" t="s">
        <v>62</v>
      </c>
      <c r="H4" s="127" t="s">
        <v>58</v>
      </c>
      <c r="I4" s="127" t="s">
        <v>59</v>
      </c>
      <c r="J4" s="127" t="s">
        <v>60</v>
      </c>
      <c r="K4" s="127" t="s">
        <v>61</v>
      </c>
      <c r="L4" s="127" t="s">
        <v>62</v>
      </c>
      <c r="M4" s="317"/>
      <c r="N4" s="317"/>
      <c r="O4" s="127" t="s">
        <v>58</v>
      </c>
      <c r="P4" s="127" t="s">
        <v>59</v>
      </c>
      <c r="Q4" s="127" t="s">
        <v>60</v>
      </c>
      <c r="R4" s="127" t="s">
        <v>61</v>
      </c>
      <c r="S4" s="127" t="s">
        <v>62</v>
      </c>
      <c r="T4" s="127" t="s">
        <v>58</v>
      </c>
      <c r="U4" s="127" t="s">
        <v>59</v>
      </c>
      <c r="V4" s="127" t="s">
        <v>60</v>
      </c>
      <c r="W4" s="127" t="s">
        <v>61</v>
      </c>
      <c r="X4" s="127" t="s">
        <v>62</v>
      </c>
      <c r="Y4" s="317"/>
      <c r="Z4" s="317"/>
      <c r="AA4" s="127" t="s">
        <v>58</v>
      </c>
      <c r="AB4" s="127" t="s">
        <v>59</v>
      </c>
      <c r="AC4" s="127" t="s">
        <v>60</v>
      </c>
      <c r="AD4" s="127" t="s">
        <v>61</v>
      </c>
      <c r="AE4" s="127" t="s">
        <v>62</v>
      </c>
      <c r="AF4" s="127" t="s">
        <v>58</v>
      </c>
      <c r="AG4" s="127" t="s">
        <v>59</v>
      </c>
      <c r="AH4" s="127" t="s">
        <v>60</v>
      </c>
      <c r="AI4" s="127" t="s">
        <v>61</v>
      </c>
      <c r="AJ4" s="127" t="s">
        <v>62</v>
      </c>
      <c r="AK4" s="317"/>
      <c r="AL4" s="317"/>
      <c r="AM4" s="127" t="s">
        <v>58</v>
      </c>
      <c r="AN4" s="127" t="s">
        <v>59</v>
      </c>
      <c r="AO4" s="127" t="s">
        <v>60</v>
      </c>
      <c r="AP4" s="127" t="s">
        <v>61</v>
      </c>
      <c r="AQ4" s="127" t="s">
        <v>62</v>
      </c>
      <c r="AR4" s="127" t="s">
        <v>58</v>
      </c>
      <c r="AS4" s="127" t="s">
        <v>59</v>
      </c>
      <c r="AT4" s="127" t="s">
        <v>60</v>
      </c>
      <c r="AU4" s="127" t="s">
        <v>61</v>
      </c>
      <c r="AV4" s="127" t="s">
        <v>62</v>
      </c>
    </row>
    <row r="5" spans="1:48" ht="12.6" customHeight="1">
      <c r="A5" s="128">
        <v>1</v>
      </c>
      <c r="B5" s="128">
        <v>2</v>
      </c>
      <c r="C5" s="128">
        <v>3</v>
      </c>
      <c r="D5" s="128">
        <f t="shared" ref="D5:L5" si="0">C5+1</f>
        <v>4</v>
      </c>
      <c r="E5" s="128">
        <f t="shared" si="0"/>
        <v>5</v>
      </c>
      <c r="F5" s="128">
        <f t="shared" si="0"/>
        <v>6</v>
      </c>
      <c r="G5" s="128">
        <f t="shared" si="0"/>
        <v>7</v>
      </c>
      <c r="H5" s="128">
        <f t="shared" si="0"/>
        <v>8</v>
      </c>
      <c r="I5" s="128">
        <f t="shared" si="0"/>
        <v>9</v>
      </c>
      <c r="J5" s="128">
        <f t="shared" si="0"/>
        <v>10</v>
      </c>
      <c r="K5" s="128">
        <f t="shared" si="0"/>
        <v>11</v>
      </c>
      <c r="L5" s="128">
        <f t="shared" si="0"/>
        <v>12</v>
      </c>
      <c r="M5" s="128">
        <v>1</v>
      </c>
      <c r="N5" s="128">
        <v>2</v>
      </c>
      <c r="O5" s="128">
        <f>L5+1</f>
        <v>13</v>
      </c>
      <c r="P5" s="128">
        <f>O5+1</f>
        <v>14</v>
      </c>
      <c r="Q5" s="128">
        <f>P5+1</f>
        <v>15</v>
      </c>
      <c r="R5" s="128">
        <f>Q5+1</f>
        <v>16</v>
      </c>
      <c r="S5" s="128">
        <f>R5+1</f>
        <v>17</v>
      </c>
      <c r="T5" s="174"/>
      <c r="U5" s="174"/>
      <c r="V5" s="174"/>
      <c r="W5" s="128">
        <v>17</v>
      </c>
      <c r="X5" s="128">
        <f>W5+1</f>
        <v>18</v>
      </c>
      <c r="Y5" s="128">
        <v>1</v>
      </c>
      <c r="Z5" s="128">
        <v>2</v>
      </c>
      <c r="AA5" s="174"/>
      <c r="AB5" s="174"/>
      <c r="AC5" s="174"/>
      <c r="AD5" s="128">
        <v>18</v>
      </c>
      <c r="AE5" s="128">
        <f t="shared" ref="AE5:AJ5" si="1">AD5+1</f>
        <v>19</v>
      </c>
      <c r="AF5" s="128">
        <f t="shared" si="1"/>
        <v>20</v>
      </c>
      <c r="AG5" s="128">
        <f t="shared" si="1"/>
        <v>21</v>
      </c>
      <c r="AH5" s="128">
        <f t="shared" si="1"/>
        <v>22</v>
      </c>
      <c r="AI5" s="128">
        <f t="shared" si="1"/>
        <v>23</v>
      </c>
      <c r="AJ5" s="128">
        <f t="shared" si="1"/>
        <v>24</v>
      </c>
      <c r="AK5" s="128">
        <v>1</v>
      </c>
      <c r="AL5" s="128">
        <v>2</v>
      </c>
      <c r="AM5" s="128">
        <f>AJ5+1</f>
        <v>25</v>
      </c>
      <c r="AN5" s="128">
        <f t="shared" ref="AN5:AV5" si="2">AM5+1</f>
        <v>26</v>
      </c>
      <c r="AO5" s="128">
        <f t="shared" si="2"/>
        <v>27</v>
      </c>
      <c r="AP5" s="128">
        <f t="shared" si="2"/>
        <v>28</v>
      </c>
      <c r="AQ5" s="128">
        <f t="shared" si="2"/>
        <v>29</v>
      </c>
      <c r="AR5" s="128">
        <f t="shared" si="2"/>
        <v>30</v>
      </c>
      <c r="AS5" s="128">
        <f t="shared" si="2"/>
        <v>31</v>
      </c>
      <c r="AT5" s="128">
        <f t="shared" si="2"/>
        <v>32</v>
      </c>
      <c r="AU5" s="128">
        <f t="shared" si="2"/>
        <v>33</v>
      </c>
      <c r="AV5" s="128">
        <f t="shared" si="2"/>
        <v>34</v>
      </c>
    </row>
    <row r="6" spans="1:48" ht="12.6" customHeight="1">
      <c r="A6" s="136" t="s">
        <v>63</v>
      </c>
      <c r="B6" s="137" t="s">
        <v>269</v>
      </c>
      <c r="C6" s="132">
        <f>'Т 3'!D56</f>
        <v>0</v>
      </c>
      <c r="D6" s="132">
        <f>'Т 3'!E56</f>
        <v>0</v>
      </c>
      <c r="E6" s="132">
        <f>'Т 3'!F56</f>
        <v>0</v>
      </c>
      <c r="F6" s="132">
        <f>'Т 3'!G56</f>
        <v>0</v>
      </c>
      <c r="G6" s="141">
        <f t="shared" ref="G6:G16" si="3">C6+D6+E6+F6</f>
        <v>0</v>
      </c>
      <c r="H6" s="132">
        <f>'Т 3'!I56</f>
        <v>59544</v>
      </c>
      <c r="I6" s="132">
        <f>'Т 3'!J56</f>
        <v>59544</v>
      </c>
      <c r="J6" s="132">
        <f>'Т 3'!K56</f>
        <v>59544</v>
      </c>
      <c r="K6" s="132">
        <f>'Т 3'!L56</f>
        <v>59544</v>
      </c>
      <c r="L6" s="141">
        <f t="shared" ref="L6:L16" si="4">H6+I6+J6+K6</f>
        <v>238176</v>
      </c>
      <c r="M6" s="136" t="str">
        <f t="shared" ref="M6:M17" si="5">A6</f>
        <v>1.</v>
      </c>
      <c r="N6" s="137" t="str">
        <f t="shared" ref="N6:N17" si="6">B6</f>
        <v>Валовая выручка</v>
      </c>
      <c r="O6" s="132">
        <f>'Т 3'!Q56</f>
        <v>59544</v>
      </c>
      <c r="P6" s="132">
        <f>'Т 3'!R56</f>
        <v>59544</v>
      </c>
      <c r="Q6" s="132">
        <f>'Т 3'!S56</f>
        <v>59544</v>
      </c>
      <c r="R6" s="132">
        <f>'Т 3'!T56</f>
        <v>59544</v>
      </c>
      <c r="S6" s="141">
        <f t="shared" ref="S6:S16" si="7">O6+P6+Q6+R6</f>
        <v>238176</v>
      </c>
      <c r="T6" s="132">
        <f>'Т 3'!V56</f>
        <v>59544</v>
      </c>
      <c r="U6" s="132">
        <f>'Т 3'!W56</f>
        <v>59544</v>
      </c>
      <c r="V6" s="132">
        <f>'Т 3'!X56</f>
        <v>59544</v>
      </c>
      <c r="W6" s="132">
        <f>'Т 3'!Y56</f>
        <v>59544</v>
      </c>
      <c r="X6" s="141">
        <f t="shared" ref="X6:X16" si="8">T6+U6+V6+W6</f>
        <v>238176</v>
      </c>
      <c r="Y6" s="136" t="str">
        <f t="shared" ref="Y6:Z12" si="9">M6</f>
        <v>1.</v>
      </c>
      <c r="Z6" s="137" t="str">
        <f t="shared" si="9"/>
        <v>Валовая выручка</v>
      </c>
      <c r="AA6" s="132">
        <f>'Т 3'!AD56</f>
        <v>59544</v>
      </c>
      <c r="AB6" s="132">
        <f>'Т 3'!AE56</f>
        <v>59544</v>
      </c>
      <c r="AC6" s="132">
        <f>'Т 3'!AF56</f>
        <v>59544</v>
      </c>
      <c r="AD6" s="132">
        <f>'Т 3'!AG56</f>
        <v>59544</v>
      </c>
      <c r="AE6" s="141">
        <f t="shared" ref="AE6:AE16" si="10">AA6+AB6+AC6+AD6</f>
        <v>238176</v>
      </c>
      <c r="AF6" s="132">
        <f>'Т 3'!AI56</f>
        <v>59544</v>
      </c>
      <c r="AG6" s="132">
        <f>'Т 3'!AJ56</f>
        <v>59544</v>
      </c>
      <c r="AH6" s="132">
        <f>'Т 3'!AK56</f>
        <v>59544</v>
      </c>
      <c r="AI6" s="132">
        <f>'Т 3'!AL56</f>
        <v>59544</v>
      </c>
      <c r="AJ6" s="141">
        <f t="shared" ref="AJ6:AJ16" si="11">AF6+AG6+AH6+AI6</f>
        <v>238176</v>
      </c>
      <c r="AK6" s="136" t="str">
        <f t="shared" ref="AK6:AL12" si="12">Y6</f>
        <v>1.</v>
      </c>
      <c r="AL6" s="137" t="str">
        <f t="shared" si="12"/>
        <v>Валовая выручка</v>
      </c>
      <c r="AM6" s="132">
        <f>'Т 3'!AQ56</f>
        <v>59544</v>
      </c>
      <c r="AN6" s="132">
        <f>'Т 3'!AR56</f>
        <v>59544</v>
      </c>
      <c r="AO6" s="132">
        <f>'Т 3'!AS56</f>
        <v>59544</v>
      </c>
      <c r="AP6" s="132">
        <f>'Т 3'!AT56</f>
        <v>59544</v>
      </c>
      <c r="AQ6" s="141">
        <f t="shared" ref="AQ6:AQ16" si="13">AM6+AN6+AO6+AP6</f>
        <v>238176</v>
      </c>
      <c r="AR6" s="132">
        <f>'Т 3'!AV56</f>
        <v>59544</v>
      </c>
      <c r="AS6" s="132">
        <f>'Т 3'!AW56</f>
        <v>59544</v>
      </c>
      <c r="AT6" s="132">
        <f>'Т 3'!AX56</f>
        <v>59544</v>
      </c>
      <c r="AU6" s="132">
        <f>'Т 3'!AY56</f>
        <v>59544</v>
      </c>
      <c r="AV6" s="141">
        <f>AR6+AS6+AT6+AU6</f>
        <v>238176</v>
      </c>
    </row>
    <row r="7" spans="1:48" ht="12.6" customHeight="1">
      <c r="A7" s="136" t="s">
        <v>68</v>
      </c>
      <c r="B7" s="137" t="s">
        <v>270</v>
      </c>
      <c r="C7" s="132">
        <f>'Т 6'!C6</f>
        <v>0</v>
      </c>
      <c r="D7" s="132">
        <f>'Т 6'!D6</f>
        <v>0</v>
      </c>
      <c r="E7" s="132">
        <f>'Т 6'!E6</f>
        <v>0</v>
      </c>
      <c r="F7" s="132">
        <f>'Т 6'!F6</f>
        <v>0</v>
      </c>
      <c r="G7" s="141">
        <f t="shared" si="3"/>
        <v>0</v>
      </c>
      <c r="H7" s="132">
        <f>'Т 6'!H6</f>
        <v>25444.440000000002</v>
      </c>
      <c r="I7" s="132">
        <f>'Т 6'!I6</f>
        <v>25444.440000000002</v>
      </c>
      <c r="J7" s="132">
        <f>'Т 6'!J6</f>
        <v>25444.440000000002</v>
      </c>
      <c r="K7" s="132">
        <f>'Т 6'!K6</f>
        <v>25444.440000000002</v>
      </c>
      <c r="L7" s="141">
        <f t="shared" si="4"/>
        <v>101777.76000000001</v>
      </c>
      <c r="M7" s="136" t="str">
        <f t="shared" si="5"/>
        <v>2.</v>
      </c>
      <c r="N7" s="137" t="str">
        <f t="shared" si="6"/>
        <v>Себестоимость</v>
      </c>
      <c r="O7" s="132">
        <f>'Т 6'!O6</f>
        <v>25444.440000000002</v>
      </c>
      <c r="P7" s="132">
        <f>'Т 6'!P6</f>
        <v>25444.440000000002</v>
      </c>
      <c r="Q7" s="132">
        <f>'Т 6'!Q6</f>
        <v>25444.440000000002</v>
      </c>
      <c r="R7" s="132">
        <f>'Т 6'!R6</f>
        <v>25444.440000000002</v>
      </c>
      <c r="S7" s="141">
        <f t="shared" si="7"/>
        <v>101777.76000000001</v>
      </c>
      <c r="T7" s="132">
        <f>'Т 6'!T6</f>
        <v>25444.440000000002</v>
      </c>
      <c r="U7" s="132">
        <f>'Т 6'!U6</f>
        <v>25444.440000000002</v>
      </c>
      <c r="V7" s="132">
        <f>'Т 6'!V6</f>
        <v>25444.440000000002</v>
      </c>
      <c r="W7" s="132">
        <f>'Т 6'!W6</f>
        <v>25444.440000000002</v>
      </c>
      <c r="X7" s="141">
        <f t="shared" si="8"/>
        <v>101777.76000000001</v>
      </c>
      <c r="Y7" s="136" t="str">
        <f t="shared" si="9"/>
        <v>2.</v>
      </c>
      <c r="Z7" s="137" t="str">
        <f t="shared" si="9"/>
        <v>Себестоимость</v>
      </c>
      <c r="AA7" s="132">
        <f>'Т 6'!AA6</f>
        <v>25444.440000000002</v>
      </c>
      <c r="AB7" s="132">
        <f>'Т 6'!AB6</f>
        <v>25444.440000000002</v>
      </c>
      <c r="AC7" s="132">
        <f>'Т 6'!AC6</f>
        <v>25444.440000000002</v>
      </c>
      <c r="AD7" s="132">
        <f>'Т 6'!AD6</f>
        <v>25444.440000000002</v>
      </c>
      <c r="AE7" s="141">
        <f t="shared" si="10"/>
        <v>101777.76000000001</v>
      </c>
      <c r="AF7" s="132">
        <f>'Т 6'!AF6</f>
        <v>25444.440000000002</v>
      </c>
      <c r="AG7" s="132">
        <f>'Т 6'!AG6</f>
        <v>25444.440000000002</v>
      </c>
      <c r="AH7" s="132">
        <f>'Т 6'!AH6</f>
        <v>25444.440000000002</v>
      </c>
      <c r="AI7" s="132">
        <f>'Т 6'!AI6</f>
        <v>25444.440000000002</v>
      </c>
      <c r="AJ7" s="141">
        <f t="shared" si="11"/>
        <v>101777.76000000001</v>
      </c>
      <c r="AK7" s="136" t="str">
        <f t="shared" si="12"/>
        <v>2.</v>
      </c>
      <c r="AL7" s="137" t="str">
        <f t="shared" si="12"/>
        <v>Себестоимость</v>
      </c>
      <c r="AM7" s="132">
        <f>'Т 6'!AM6</f>
        <v>25444.440000000002</v>
      </c>
      <c r="AN7" s="132">
        <f>'Т 6'!AN6</f>
        <v>25444.440000000002</v>
      </c>
      <c r="AO7" s="132">
        <f>'Т 6'!AO6</f>
        <v>25444.440000000002</v>
      </c>
      <c r="AP7" s="132">
        <f>'Т 6'!AP6</f>
        <v>25444.440000000002</v>
      </c>
      <c r="AQ7" s="141">
        <f t="shared" si="13"/>
        <v>101777.76000000001</v>
      </c>
      <c r="AR7" s="132">
        <f>'Т 6'!AR6</f>
        <v>25444.440000000002</v>
      </c>
      <c r="AS7" s="132">
        <f>'Т 6'!AS6</f>
        <v>25444.440000000002</v>
      </c>
      <c r="AT7" s="132">
        <f>'Т 6'!AT6</f>
        <v>25444.440000000002</v>
      </c>
      <c r="AU7" s="132">
        <f>'Т 6'!AU6</f>
        <v>25444.440000000002</v>
      </c>
      <c r="AV7" s="141">
        <f t="shared" ref="AV6:AV16" si="14">AR7+AS7+AT7+AU7</f>
        <v>101777.76000000001</v>
      </c>
    </row>
    <row r="8" spans="1:48" ht="12.6" customHeight="1">
      <c r="A8" s="136" t="s">
        <v>70</v>
      </c>
      <c r="B8" s="137" t="s">
        <v>271</v>
      </c>
      <c r="C8" s="132">
        <f>C6-C7</f>
        <v>0</v>
      </c>
      <c r="D8" s="132">
        <f>D6-D7</f>
        <v>0</v>
      </c>
      <c r="E8" s="132">
        <f>E6-E7</f>
        <v>0</v>
      </c>
      <c r="F8" s="132">
        <f>F6-F7</f>
        <v>0</v>
      </c>
      <c r="G8" s="141">
        <f t="shared" si="3"/>
        <v>0</v>
      </c>
      <c r="H8" s="132">
        <f>H6-H7</f>
        <v>34099.56</v>
      </c>
      <c r="I8" s="132">
        <f>I6-I7</f>
        <v>34099.56</v>
      </c>
      <c r="J8" s="132">
        <f>J6-J7</f>
        <v>34099.56</v>
      </c>
      <c r="K8" s="132">
        <f>K6-K7</f>
        <v>34099.56</v>
      </c>
      <c r="L8" s="141">
        <f t="shared" si="4"/>
        <v>136398.24</v>
      </c>
      <c r="M8" s="136" t="str">
        <f t="shared" si="5"/>
        <v>3.</v>
      </c>
      <c r="N8" s="137" t="str">
        <f t="shared" si="6"/>
        <v>Валовая прибыль</v>
      </c>
      <c r="O8" s="132">
        <f>O6-O7</f>
        <v>34099.56</v>
      </c>
      <c r="P8" s="132">
        <f>P6-P7</f>
        <v>34099.56</v>
      </c>
      <c r="Q8" s="132">
        <f>Q6-Q7</f>
        <v>34099.56</v>
      </c>
      <c r="R8" s="132">
        <f>R6-R7</f>
        <v>34099.56</v>
      </c>
      <c r="S8" s="141">
        <f t="shared" si="7"/>
        <v>136398.24</v>
      </c>
      <c r="T8" s="132">
        <f>T6-T7</f>
        <v>34099.56</v>
      </c>
      <c r="U8" s="132">
        <f>U6-U7</f>
        <v>34099.56</v>
      </c>
      <c r="V8" s="132">
        <f>V6-V7</f>
        <v>34099.56</v>
      </c>
      <c r="W8" s="132">
        <f>W6-W7</f>
        <v>34099.56</v>
      </c>
      <c r="X8" s="141">
        <f t="shared" si="8"/>
        <v>136398.24</v>
      </c>
      <c r="Y8" s="136" t="str">
        <f t="shared" si="9"/>
        <v>3.</v>
      </c>
      <c r="Z8" s="137" t="str">
        <f t="shared" si="9"/>
        <v>Валовая прибыль</v>
      </c>
      <c r="AA8" s="132">
        <f>AA6-AA7</f>
        <v>34099.56</v>
      </c>
      <c r="AB8" s="132">
        <f>AB6-AB7</f>
        <v>34099.56</v>
      </c>
      <c r="AC8" s="132">
        <f>AC6-AC7</f>
        <v>34099.56</v>
      </c>
      <c r="AD8" s="132">
        <f>AD6-AD7</f>
        <v>34099.56</v>
      </c>
      <c r="AE8" s="141">
        <f t="shared" si="10"/>
        <v>136398.24</v>
      </c>
      <c r="AF8" s="132">
        <f>AF6-AF7</f>
        <v>34099.56</v>
      </c>
      <c r="AG8" s="132">
        <f>AG6-AG7</f>
        <v>34099.56</v>
      </c>
      <c r="AH8" s="132">
        <f>AH6-AH7</f>
        <v>34099.56</v>
      </c>
      <c r="AI8" s="132">
        <f>AI6-AI7</f>
        <v>34099.56</v>
      </c>
      <c r="AJ8" s="141">
        <f t="shared" si="11"/>
        <v>136398.24</v>
      </c>
      <c r="AK8" s="136" t="str">
        <f t="shared" si="12"/>
        <v>3.</v>
      </c>
      <c r="AL8" s="137" t="str">
        <f t="shared" si="12"/>
        <v>Валовая прибыль</v>
      </c>
      <c r="AM8" s="132">
        <f>AM6-AM7</f>
        <v>34099.56</v>
      </c>
      <c r="AN8" s="132">
        <f>AN6-AN7</f>
        <v>34099.56</v>
      </c>
      <c r="AO8" s="132">
        <f>AO6-AO7</f>
        <v>34099.56</v>
      </c>
      <c r="AP8" s="132">
        <f>AP6-AP7</f>
        <v>34099.56</v>
      </c>
      <c r="AQ8" s="141">
        <f t="shared" si="13"/>
        <v>136398.24</v>
      </c>
      <c r="AR8" s="132">
        <f>AR6-AR7</f>
        <v>34099.56</v>
      </c>
      <c r="AS8" s="132">
        <f>AS6-AS7</f>
        <v>34099.56</v>
      </c>
      <c r="AT8" s="132">
        <f>AT6-AT7</f>
        <v>34099.56</v>
      </c>
      <c r="AU8" s="132">
        <f>AU6-AU7</f>
        <v>34099.56</v>
      </c>
      <c r="AV8" s="141">
        <f t="shared" si="14"/>
        <v>136398.24</v>
      </c>
    </row>
    <row r="9" spans="1:48" ht="12.6" customHeight="1">
      <c r="A9" s="136" t="s">
        <v>72</v>
      </c>
      <c r="B9" s="137" t="s">
        <v>228</v>
      </c>
      <c r="C9" s="132">
        <f>'Т 6'!C27</f>
        <v>0</v>
      </c>
      <c r="D9" s="132">
        <f>'Т 6'!D27</f>
        <v>0</v>
      </c>
      <c r="E9" s="132">
        <f>'Т 6'!E27</f>
        <v>0</v>
      </c>
      <c r="F9" s="132">
        <f>'Т 6'!F27</f>
        <v>0</v>
      </c>
      <c r="G9" s="141">
        <f t="shared" si="3"/>
        <v>0</v>
      </c>
      <c r="H9" s="132">
        <f>'Т 6'!H27</f>
        <v>601.39440000000002</v>
      </c>
      <c r="I9" s="132">
        <f>'Т 6'!I27</f>
        <v>601.39440000000002</v>
      </c>
      <c r="J9" s="132">
        <f>'Т 6'!J27</f>
        <v>601.39440000000002</v>
      </c>
      <c r="K9" s="132">
        <f>'Т 6'!K27</f>
        <v>601.39440000000002</v>
      </c>
      <c r="L9" s="141">
        <f t="shared" si="4"/>
        <v>2405.5776000000001</v>
      </c>
      <c r="M9" s="136" t="str">
        <f t="shared" si="5"/>
        <v>4.</v>
      </c>
      <c r="N9" s="137" t="str">
        <f t="shared" si="6"/>
        <v>Коммерческие расходы</v>
      </c>
      <c r="O9" s="132">
        <f>'Т 6'!O27</f>
        <v>601.39440000000002</v>
      </c>
      <c r="P9" s="132">
        <f>'Т 6'!P27</f>
        <v>601.39440000000002</v>
      </c>
      <c r="Q9" s="132">
        <f>'Т 6'!Q27</f>
        <v>601.39440000000002</v>
      </c>
      <c r="R9" s="132">
        <f>'Т 6'!R27</f>
        <v>601.39440000000002</v>
      </c>
      <c r="S9" s="141">
        <f t="shared" si="7"/>
        <v>2405.5776000000001</v>
      </c>
      <c r="T9" s="132">
        <f>'Т 6'!T27</f>
        <v>601.39440000000002</v>
      </c>
      <c r="U9" s="132">
        <f>'Т 6'!U27</f>
        <v>601.39440000000002</v>
      </c>
      <c r="V9" s="132">
        <f>'Т 6'!V27</f>
        <v>601.39440000000002</v>
      </c>
      <c r="W9" s="132">
        <f>'Т 6'!W27</f>
        <v>601.39440000000002</v>
      </c>
      <c r="X9" s="141">
        <f t="shared" si="8"/>
        <v>2405.5776000000001</v>
      </c>
      <c r="Y9" s="136" t="str">
        <f t="shared" si="9"/>
        <v>4.</v>
      </c>
      <c r="Z9" s="137" t="str">
        <f t="shared" si="9"/>
        <v>Коммерческие расходы</v>
      </c>
      <c r="AA9" s="132">
        <f>'Т 6'!AA27</f>
        <v>601.39440000000002</v>
      </c>
      <c r="AB9" s="132">
        <f>'Т 6'!AB27</f>
        <v>601.39440000000002</v>
      </c>
      <c r="AC9" s="132">
        <f>'Т 6'!AC27</f>
        <v>601.39440000000002</v>
      </c>
      <c r="AD9" s="132">
        <f>'Т 6'!AD27</f>
        <v>601.39440000000002</v>
      </c>
      <c r="AE9" s="141">
        <f t="shared" si="10"/>
        <v>2405.5776000000001</v>
      </c>
      <c r="AF9" s="132">
        <f>'Т 6'!AF27</f>
        <v>601.39440000000002</v>
      </c>
      <c r="AG9" s="132">
        <f>'Т 6'!AG27</f>
        <v>601.39440000000002</v>
      </c>
      <c r="AH9" s="132">
        <f>'Т 6'!AH27</f>
        <v>601.39440000000002</v>
      </c>
      <c r="AI9" s="132">
        <f>'Т 6'!AI27</f>
        <v>601.39440000000002</v>
      </c>
      <c r="AJ9" s="141">
        <f t="shared" si="11"/>
        <v>2405.5776000000001</v>
      </c>
      <c r="AK9" s="136" t="str">
        <f t="shared" si="12"/>
        <v>4.</v>
      </c>
      <c r="AL9" s="137" t="str">
        <f t="shared" si="12"/>
        <v>Коммерческие расходы</v>
      </c>
      <c r="AM9" s="132">
        <f>'Т 6'!AM27</f>
        <v>601.39440000000002</v>
      </c>
      <c r="AN9" s="132">
        <f>'Т 6'!AN27</f>
        <v>601.39440000000002</v>
      </c>
      <c r="AO9" s="132">
        <f>'Т 6'!AO27</f>
        <v>601.39440000000002</v>
      </c>
      <c r="AP9" s="132">
        <f>'Т 6'!AP27</f>
        <v>601.39440000000002</v>
      </c>
      <c r="AQ9" s="141">
        <f t="shared" si="13"/>
        <v>2405.5776000000001</v>
      </c>
      <c r="AR9" s="132">
        <f>'Т 6'!AR27</f>
        <v>601.39440000000002</v>
      </c>
      <c r="AS9" s="132">
        <f>'Т 6'!AS27</f>
        <v>601.39440000000002</v>
      </c>
      <c r="AT9" s="132">
        <f>'Т 6'!AT27</f>
        <v>601.39440000000002</v>
      </c>
      <c r="AU9" s="132">
        <f>'Т 6'!AU27</f>
        <v>601.39440000000002</v>
      </c>
      <c r="AV9" s="141">
        <f t="shared" si="14"/>
        <v>2405.5776000000001</v>
      </c>
    </row>
    <row r="10" spans="1:48" ht="12.6" customHeight="1">
      <c r="A10" s="136" t="s">
        <v>74</v>
      </c>
      <c r="B10" s="137" t="s">
        <v>272</v>
      </c>
      <c r="C10" s="132">
        <f>'Т 6'!C17-'Т 6'!C27</f>
        <v>173.875</v>
      </c>
      <c r="D10" s="132">
        <f>'Т 6'!D17-'Т 6'!D27</f>
        <v>173.875</v>
      </c>
      <c r="E10" s="132">
        <f>'Т 6'!E17-'Т 6'!E27</f>
        <v>173.875</v>
      </c>
      <c r="F10" s="132">
        <f>'Т 6'!F17-'Т 6'!F27</f>
        <v>173.875</v>
      </c>
      <c r="G10" s="141">
        <f t="shared" si="3"/>
        <v>695.5</v>
      </c>
      <c r="H10" s="132">
        <f>'Т 6'!H17-'Т 6'!H27</f>
        <v>8812.4643539548033</v>
      </c>
      <c r="I10" s="132">
        <f>'Т 6'!I17-'Т 6'!I27</f>
        <v>8812.4643539548033</v>
      </c>
      <c r="J10" s="132">
        <f>'Т 6'!J17-'Т 6'!J27</f>
        <v>8812.4643539548033</v>
      </c>
      <c r="K10" s="132">
        <f>'Т 6'!K17-'Т 6'!K27</f>
        <v>8812.4643539548033</v>
      </c>
      <c r="L10" s="141">
        <f t="shared" si="4"/>
        <v>35249.857415819213</v>
      </c>
      <c r="M10" s="136" t="str">
        <f t="shared" si="5"/>
        <v>5.</v>
      </c>
      <c r="N10" s="137" t="str">
        <f t="shared" si="6"/>
        <v>Управленческие расходы</v>
      </c>
      <c r="O10" s="132">
        <f>'Т 6'!O17-'Т 6'!O27</f>
        <v>8812.4643539548033</v>
      </c>
      <c r="P10" s="132">
        <f>'Т 6'!P17-'Т 6'!P27</f>
        <v>8812.4643539548033</v>
      </c>
      <c r="Q10" s="132">
        <f>'Т 6'!Q17-'Т 6'!Q27</f>
        <v>8812.4643539548033</v>
      </c>
      <c r="R10" s="132">
        <f>'Т 6'!R17-'Т 6'!R27</f>
        <v>8812.4643539548033</v>
      </c>
      <c r="S10" s="141">
        <f t="shared" si="7"/>
        <v>35249.857415819213</v>
      </c>
      <c r="T10" s="132">
        <f>'Т 6'!T17-'Т 6'!T27</f>
        <v>8812.4643539548033</v>
      </c>
      <c r="U10" s="132">
        <f>'Т 6'!U17-'Т 6'!U27</f>
        <v>8812.4643539548033</v>
      </c>
      <c r="V10" s="132">
        <f>'Т 6'!V17-'Т 6'!V27</f>
        <v>8812.4643539548033</v>
      </c>
      <c r="W10" s="132">
        <f>'Т 6'!W17-'Т 6'!W27</f>
        <v>8812.4643539548033</v>
      </c>
      <c r="X10" s="141">
        <f t="shared" si="8"/>
        <v>35249.857415819213</v>
      </c>
      <c r="Y10" s="136" t="str">
        <f t="shared" si="9"/>
        <v>5.</v>
      </c>
      <c r="Z10" s="137" t="str">
        <f t="shared" si="9"/>
        <v>Управленческие расходы</v>
      </c>
      <c r="AA10" s="132">
        <f>'Т 6'!AA17-'Т 6'!AA27</f>
        <v>8812.4643539548033</v>
      </c>
      <c r="AB10" s="132">
        <f>'Т 6'!AB17-'Т 6'!AB27</f>
        <v>8812.4643539548033</v>
      </c>
      <c r="AC10" s="132">
        <f>'Т 6'!AC17-'Т 6'!AC27</f>
        <v>8812.4643539548033</v>
      </c>
      <c r="AD10" s="132">
        <f>'Т 6'!AD17-'Т 6'!AD27</f>
        <v>8812.4643539548033</v>
      </c>
      <c r="AE10" s="141">
        <f t="shared" si="10"/>
        <v>35249.857415819213</v>
      </c>
      <c r="AF10" s="132">
        <f>'Т 6'!AF17-'Т 6'!AF27</f>
        <v>8812.4643539548033</v>
      </c>
      <c r="AG10" s="132">
        <f>'Т 6'!AG17-'Т 6'!AG27</f>
        <v>8812.4643539548033</v>
      </c>
      <c r="AH10" s="132">
        <f>'Т 6'!AH17-'Т 6'!AH27</f>
        <v>8812.4643539548033</v>
      </c>
      <c r="AI10" s="132">
        <f>'Т 6'!AI17-'Т 6'!AI27</f>
        <v>8812.4643539548033</v>
      </c>
      <c r="AJ10" s="141">
        <f t="shared" si="11"/>
        <v>35249.857415819213</v>
      </c>
      <c r="AK10" s="136" t="str">
        <f t="shared" si="12"/>
        <v>5.</v>
      </c>
      <c r="AL10" s="137" t="str">
        <f t="shared" si="12"/>
        <v>Управленческие расходы</v>
      </c>
      <c r="AM10" s="132">
        <f>'Т 6'!AM17-'Т 6'!AM27</f>
        <v>8812.4643539548033</v>
      </c>
      <c r="AN10" s="132">
        <f>'Т 6'!AN17-'Т 6'!AN27</f>
        <v>8812.4643539548033</v>
      </c>
      <c r="AO10" s="132">
        <f>'Т 6'!AO17-'Т 6'!AO27</f>
        <v>8812.4643539548033</v>
      </c>
      <c r="AP10" s="132">
        <f>'Т 6'!AP17-'Т 6'!AP27</f>
        <v>8812.4643539548033</v>
      </c>
      <c r="AQ10" s="141">
        <f t="shared" si="13"/>
        <v>35249.857415819213</v>
      </c>
      <c r="AR10" s="132">
        <f>'Т 6'!AR17-'Т 6'!AR27</f>
        <v>8812.4643539548033</v>
      </c>
      <c r="AS10" s="132">
        <f>'Т 6'!AS17-'Т 6'!AS27</f>
        <v>8812.4643539548033</v>
      </c>
      <c r="AT10" s="132">
        <f>'Т 6'!AT17-'Т 6'!AT27</f>
        <v>8812.4643539548033</v>
      </c>
      <c r="AU10" s="132">
        <f>'Т 6'!AU17-'Т 6'!AU27</f>
        <v>8812.4643539548033</v>
      </c>
      <c r="AV10" s="141">
        <f t="shared" si="14"/>
        <v>35249.857415819213</v>
      </c>
    </row>
    <row r="11" spans="1:48" ht="12.6" customHeight="1">
      <c r="A11" s="140" t="s">
        <v>182</v>
      </c>
      <c r="B11" s="137" t="s">
        <v>273</v>
      </c>
      <c r="C11" s="132">
        <f>'Т 8'!C6+'Т 8'!C10+'Т 8'!C14+'Т 8'!C15+'Т 8'!C16</f>
        <v>0</v>
      </c>
      <c r="D11" s="132">
        <f>'Т 8'!D6+'Т 8'!D10+'Т 8'!D14+'Т 8'!D15+'Т 8'!D16</f>
        <v>0</v>
      </c>
      <c r="E11" s="132">
        <f>'Т 8'!E6+'Т 8'!E10+'Т 8'!E14+'Т 8'!E15+'Т 8'!E16</f>
        <v>0</v>
      </c>
      <c r="F11" s="132">
        <f>'Т 8'!F6+'Т 8'!F10+'Т 8'!F14+'Т 8'!F15+'Т 8'!F16</f>
        <v>0</v>
      </c>
      <c r="G11" s="141">
        <f t="shared" si="3"/>
        <v>0</v>
      </c>
      <c r="H11" s="132">
        <f>'Т 8'!H6+'Т 8'!H10+'Т 8'!H14+'Т 8'!H15+'Т 8'!H16</f>
        <v>1601.1810399011297</v>
      </c>
      <c r="I11" s="132">
        <f>'Т 8'!I6+'Т 8'!I10+'Т 8'!I14+'Т 8'!I15+'Т 8'!I16</f>
        <v>1578.2096451271182</v>
      </c>
      <c r="J11" s="132">
        <f>'Т 8'!J6+'Т 8'!J10+'Т 8'!J14+'Т 8'!J15+'Т 8'!J16</f>
        <v>1555.2382503531069</v>
      </c>
      <c r="K11" s="132">
        <f>'Т 8'!K6+'Т 8'!K10+'Т 8'!K14+'Т 8'!K15+'Т 8'!K16</f>
        <v>1532.2668555790954</v>
      </c>
      <c r="L11" s="141">
        <f t="shared" si="4"/>
        <v>6266.8957909604496</v>
      </c>
      <c r="M11" s="136" t="str">
        <f t="shared" si="5"/>
        <v>6.</v>
      </c>
      <c r="N11" s="137" t="str">
        <f t="shared" si="6"/>
        <v>Сумма налогов, пеней и штрафов</v>
      </c>
      <c r="O11" s="132">
        <f>'Т 8'!O6+'Т 8'!O10+'Т 8'!O14+'Т 8'!O15+'Т 8'!O16</f>
        <v>6999.123618417837</v>
      </c>
      <c r="P11" s="132">
        <f>'Т 8'!P6+'Т 8'!P10+'Т 8'!P14+'Т 8'!P15+'Т 8'!P16</f>
        <v>6976.152223643825</v>
      </c>
      <c r="Q11" s="132">
        <f>'Т 8'!Q6+'Т 8'!Q10+'Т 8'!Q14+'Т 8'!Q15+'Т 8'!Q16</f>
        <v>6953.1808288698139</v>
      </c>
      <c r="R11" s="132">
        <f>'Т 8'!R6+'Т 8'!R10+'Т 8'!R14+'Т 8'!R15+'Т 8'!R16</f>
        <v>6930.2094340958029</v>
      </c>
      <c r="S11" s="141">
        <f t="shared" si="7"/>
        <v>27858.666105027278</v>
      </c>
      <c r="T11" s="132">
        <f>'Т 8'!T6+'Т 8'!T10+'Т 8'!T14+'Т 8'!T15+'Т 8'!T16</f>
        <v>6907.2380393217909</v>
      </c>
      <c r="U11" s="132">
        <f>'Т 8'!U6+'Т 8'!U10+'Т 8'!U14+'Т 8'!U15+'Т 8'!U16</f>
        <v>6884.2666445477789</v>
      </c>
      <c r="V11" s="132">
        <f>'Т 8'!V6+'Т 8'!V10+'Т 8'!V14+'Т 8'!V15+'Т 8'!V16</f>
        <v>6861.2952497737679</v>
      </c>
      <c r="W11" s="132">
        <f>'Т 8'!W6+'Т 8'!W10+'Т 8'!W14+'Т 8'!W15+'Т 8'!W16</f>
        <v>6838.3238549997568</v>
      </c>
      <c r="X11" s="141">
        <f t="shared" si="8"/>
        <v>27491.123788643097</v>
      </c>
      <c r="Y11" s="136" t="str">
        <f t="shared" si="9"/>
        <v>6.</v>
      </c>
      <c r="Z11" s="137" t="str">
        <f t="shared" si="9"/>
        <v>Сумма налогов, пеней и штрафов</v>
      </c>
      <c r="AA11" s="132">
        <f>'Т 8'!AA6+'Т 8'!AA10+'Т 8'!AA14+'Т 8'!AA15+'Т 8'!AA16</f>
        <v>6815.3524602257448</v>
      </c>
      <c r="AB11" s="132">
        <f>'Т 8'!AB6+'Т 8'!AB10+'Т 8'!AB14+'Т 8'!AB15+'Т 8'!AB16</f>
        <v>6792.3810654517329</v>
      </c>
      <c r="AC11" s="132">
        <f>'Т 8'!AC6+'Т 8'!AC10+'Т 8'!AC14+'Т 8'!AC15+'Т 8'!AC16</f>
        <v>6769.4096706777218</v>
      </c>
      <c r="AD11" s="132">
        <f>'Т 8'!AD6+'Т 8'!AD10+'Т 8'!AD14+'Т 8'!AD15+'Т 8'!AD16</f>
        <v>6746.4382759037107</v>
      </c>
      <c r="AE11" s="141">
        <f t="shared" si="10"/>
        <v>27123.581472258913</v>
      </c>
      <c r="AF11" s="132">
        <f>'Т 8'!AF6+'Т 8'!AF10+'Т 8'!AF14+'Т 8'!AF15+'Т 8'!AF16</f>
        <v>6723.4668811296988</v>
      </c>
      <c r="AG11" s="132">
        <f>'Т 8'!AG6+'Т 8'!AG10+'Т 8'!AG14+'Т 8'!AG15+'Т 8'!AG16</f>
        <v>6700.4954863556868</v>
      </c>
      <c r="AH11" s="132">
        <f>'Т 8'!AH6+'Т 8'!AH10+'Т 8'!AH14+'Т 8'!AH15+'Т 8'!AH16</f>
        <v>6677.5240915816757</v>
      </c>
      <c r="AI11" s="132">
        <f>'Т 8'!AI6+'Т 8'!AI10+'Т 8'!AI14+'Т 8'!AI15+'Т 8'!AI16</f>
        <v>6654.5526968076638</v>
      </c>
      <c r="AJ11" s="141">
        <f t="shared" si="11"/>
        <v>26756.039155874725</v>
      </c>
      <c r="AK11" s="136" t="str">
        <f t="shared" si="12"/>
        <v>6.</v>
      </c>
      <c r="AL11" s="137" t="str">
        <f t="shared" si="12"/>
        <v>Сумма налогов, пеней и штрафов</v>
      </c>
      <c r="AM11" s="132">
        <f>'Т 8'!AM6+'Т 8'!AM10+'Т 8'!AM14+'Т 8'!AM15+'Т 8'!AM16</f>
        <v>6631.5813020336527</v>
      </c>
      <c r="AN11" s="132">
        <f>'Т 8'!AN6+'Т 8'!AN10+'Т 8'!AN14+'Т 8'!AN15+'Т 8'!AN16</f>
        <v>6608.6099072596407</v>
      </c>
      <c r="AO11" s="132">
        <f>'Т 8'!AO6+'Т 8'!AO10+'Т 8'!AO14+'Т 8'!AO15+'Т 8'!AO16</f>
        <v>6585.6385124856297</v>
      </c>
      <c r="AP11" s="132">
        <f>'Т 8'!AP6+'Т 8'!AP10+'Т 8'!AP14+'Т 8'!AP15+'Т 8'!AP16</f>
        <v>6562.6671177116177</v>
      </c>
      <c r="AQ11" s="132">
        <f t="shared" si="13"/>
        <v>26388.496839490541</v>
      </c>
      <c r="AR11" s="132">
        <f>'Т 8'!AR6+'Т 8'!AR10+'Т 8'!AR14+'Т 8'!AR15+'Т 8'!AR16</f>
        <v>6539.6957229376058</v>
      </c>
      <c r="AS11" s="132">
        <f>'Т 8'!AS6+'Т 8'!AS10+'Т 8'!AS14+'Т 8'!AS15+'Т 8'!AS16</f>
        <v>6516.7243281635947</v>
      </c>
      <c r="AT11" s="132">
        <f>'Т 8'!AT6+'Т 8'!AT10+'Т 8'!AT14+'Т 8'!AT15+'Т 8'!AT16</f>
        <v>6493.7529333895836</v>
      </c>
      <c r="AU11" s="132">
        <f>'Т 8'!AU6+'Т 8'!AU10+'Т 8'!AU14+'Т 8'!AU15+'Т 8'!AU16</f>
        <v>6470.7815386155717</v>
      </c>
      <c r="AV11" s="132">
        <f t="shared" si="14"/>
        <v>26020.954523106353</v>
      </c>
    </row>
    <row r="12" spans="1:48" ht="12.6" customHeight="1">
      <c r="A12" s="140" t="s">
        <v>187</v>
      </c>
      <c r="B12" s="137" t="s">
        <v>274</v>
      </c>
      <c r="C12" s="132">
        <v>0</v>
      </c>
      <c r="D12" s="132">
        <v>0</v>
      </c>
      <c r="E12" s="132">
        <v>0</v>
      </c>
      <c r="F12" s="132">
        <v>0</v>
      </c>
      <c r="G12" s="141">
        <f t="shared" si="3"/>
        <v>0</v>
      </c>
      <c r="H12" s="132">
        <v>0</v>
      </c>
      <c r="I12" s="132">
        <v>0</v>
      </c>
      <c r="J12" s="132">
        <v>0</v>
      </c>
      <c r="K12" s="132">
        <v>0</v>
      </c>
      <c r="L12" s="141">
        <f t="shared" si="4"/>
        <v>0</v>
      </c>
      <c r="M12" s="136" t="str">
        <f t="shared" si="5"/>
        <v>7.</v>
      </c>
      <c r="N12" s="137" t="str">
        <f t="shared" si="6"/>
        <v>Уплаченные проценты по кредитам</v>
      </c>
      <c r="O12" s="132">
        <v>0</v>
      </c>
      <c r="P12" s="132">
        <v>0</v>
      </c>
      <c r="Q12" s="132">
        <v>0</v>
      </c>
      <c r="R12" s="132">
        <v>0</v>
      </c>
      <c r="S12" s="141">
        <f t="shared" si="7"/>
        <v>0</v>
      </c>
      <c r="T12" s="132">
        <v>0</v>
      </c>
      <c r="U12" s="132">
        <v>0</v>
      </c>
      <c r="V12" s="132">
        <v>0</v>
      </c>
      <c r="W12" s="132">
        <v>0</v>
      </c>
      <c r="X12" s="141">
        <f t="shared" si="8"/>
        <v>0</v>
      </c>
      <c r="Y12" s="136" t="str">
        <f t="shared" si="9"/>
        <v>7.</v>
      </c>
      <c r="Z12" s="137" t="str">
        <f t="shared" si="9"/>
        <v>Уплаченные проценты по кредитам</v>
      </c>
      <c r="AA12" s="132">
        <v>0</v>
      </c>
      <c r="AB12" s="132">
        <v>0</v>
      </c>
      <c r="AC12" s="132">
        <v>0</v>
      </c>
      <c r="AD12" s="132">
        <v>0</v>
      </c>
      <c r="AE12" s="141">
        <f t="shared" si="10"/>
        <v>0</v>
      </c>
      <c r="AF12" s="132">
        <v>0</v>
      </c>
      <c r="AG12" s="132">
        <v>0</v>
      </c>
      <c r="AH12" s="132">
        <v>0</v>
      </c>
      <c r="AI12" s="132">
        <v>0</v>
      </c>
      <c r="AJ12" s="141">
        <f t="shared" si="11"/>
        <v>0</v>
      </c>
      <c r="AK12" s="136" t="str">
        <f t="shared" si="12"/>
        <v>7.</v>
      </c>
      <c r="AL12" s="137" t="str">
        <f t="shared" si="12"/>
        <v>Уплаченные проценты по кредитам</v>
      </c>
      <c r="AM12" s="132">
        <v>0</v>
      </c>
      <c r="AN12" s="132">
        <v>0</v>
      </c>
      <c r="AO12" s="132">
        <v>0</v>
      </c>
      <c r="AP12" s="132">
        <v>0</v>
      </c>
      <c r="AQ12" s="141">
        <f t="shared" si="13"/>
        <v>0</v>
      </c>
      <c r="AR12" s="132">
        <v>0</v>
      </c>
      <c r="AS12" s="132">
        <v>0</v>
      </c>
      <c r="AT12" s="132">
        <v>0</v>
      </c>
      <c r="AU12" s="132">
        <v>0</v>
      </c>
      <c r="AV12" s="141">
        <f t="shared" si="14"/>
        <v>0</v>
      </c>
    </row>
    <row r="13" spans="1:48" ht="12.6" customHeight="1">
      <c r="A13" s="140" t="s">
        <v>190</v>
      </c>
      <c r="B13" s="137" t="s">
        <v>275</v>
      </c>
      <c r="C13" s="132">
        <v>0</v>
      </c>
      <c r="D13" s="132">
        <f t="shared" ref="D13:F14" si="15">C13</f>
        <v>0</v>
      </c>
      <c r="E13" s="132">
        <f t="shared" si="15"/>
        <v>0</v>
      </c>
      <c r="F13" s="132">
        <f t="shared" si="15"/>
        <v>0</v>
      </c>
      <c r="G13" s="141">
        <f t="shared" si="3"/>
        <v>0</v>
      </c>
      <c r="H13" s="132">
        <f>F13</f>
        <v>0</v>
      </c>
      <c r="I13" s="132">
        <f t="shared" ref="I13:K14" si="16">H13</f>
        <v>0</v>
      </c>
      <c r="J13" s="132">
        <f t="shared" si="16"/>
        <v>0</v>
      </c>
      <c r="K13" s="132">
        <f t="shared" si="16"/>
        <v>0</v>
      </c>
      <c r="L13" s="141">
        <f t="shared" si="4"/>
        <v>0</v>
      </c>
      <c r="M13" s="136" t="str">
        <f t="shared" si="5"/>
        <v>8.</v>
      </c>
      <c r="N13" s="137" t="str">
        <f t="shared" si="6"/>
        <v>Прочие расходы (расшифровать)</v>
      </c>
      <c r="O13" s="132">
        <f>K13</f>
        <v>0</v>
      </c>
      <c r="P13" s="132">
        <f t="shared" ref="P13:R14" si="17">O13</f>
        <v>0</v>
      </c>
      <c r="Q13" s="132">
        <f t="shared" si="17"/>
        <v>0</v>
      </c>
      <c r="R13" s="132">
        <f t="shared" si="17"/>
        <v>0</v>
      </c>
      <c r="S13" s="141">
        <f t="shared" si="7"/>
        <v>0</v>
      </c>
      <c r="T13" s="132">
        <f>R13</f>
        <v>0</v>
      </c>
      <c r="U13" s="132">
        <f t="shared" ref="U13:W14" si="18">T13</f>
        <v>0</v>
      </c>
      <c r="V13" s="132">
        <f t="shared" si="18"/>
        <v>0</v>
      </c>
      <c r="W13" s="132">
        <f t="shared" si="18"/>
        <v>0</v>
      </c>
      <c r="X13" s="141">
        <f t="shared" si="8"/>
        <v>0</v>
      </c>
      <c r="Y13" s="205"/>
      <c r="Z13" s="137" t="str">
        <f>N13</f>
        <v>Прочие расходы (расшифровать)</v>
      </c>
      <c r="AA13" s="132">
        <f>W13</f>
        <v>0</v>
      </c>
      <c r="AB13" s="132">
        <f t="shared" ref="AB13:AD14" si="19">AA13</f>
        <v>0</v>
      </c>
      <c r="AC13" s="132">
        <f t="shared" si="19"/>
        <v>0</v>
      </c>
      <c r="AD13" s="132">
        <f t="shared" si="19"/>
        <v>0</v>
      </c>
      <c r="AE13" s="141">
        <f t="shared" si="10"/>
        <v>0</v>
      </c>
      <c r="AF13" s="132">
        <f>AD13</f>
        <v>0</v>
      </c>
      <c r="AG13" s="132">
        <f t="shared" ref="AG13:AI14" si="20">AF13</f>
        <v>0</v>
      </c>
      <c r="AH13" s="132">
        <f t="shared" si="20"/>
        <v>0</v>
      </c>
      <c r="AI13" s="132">
        <f t="shared" si="20"/>
        <v>0</v>
      </c>
      <c r="AJ13" s="141">
        <f t="shared" si="11"/>
        <v>0</v>
      </c>
      <c r="AK13" s="205"/>
      <c r="AL13" s="137" t="str">
        <f>Z13</f>
        <v>Прочие расходы (расшифровать)</v>
      </c>
      <c r="AM13" s="132">
        <f>AI13</f>
        <v>0</v>
      </c>
      <c r="AN13" s="132">
        <f t="shared" ref="AN13:AP14" si="21">AM13</f>
        <v>0</v>
      </c>
      <c r="AO13" s="132">
        <f t="shared" si="21"/>
        <v>0</v>
      </c>
      <c r="AP13" s="132">
        <f t="shared" si="21"/>
        <v>0</v>
      </c>
      <c r="AQ13" s="141">
        <f t="shared" si="13"/>
        <v>0</v>
      </c>
      <c r="AR13" s="132">
        <f>AP13</f>
        <v>0</v>
      </c>
      <c r="AS13" s="132">
        <f t="shared" ref="AS13:AU14" si="22">AR13</f>
        <v>0</v>
      </c>
      <c r="AT13" s="132">
        <f t="shared" si="22"/>
        <v>0</v>
      </c>
      <c r="AU13" s="132">
        <f t="shared" si="22"/>
        <v>0</v>
      </c>
      <c r="AV13" s="141">
        <f t="shared" si="14"/>
        <v>0</v>
      </c>
    </row>
    <row r="14" spans="1:48" ht="12.6" customHeight="1">
      <c r="A14" s="140" t="s">
        <v>193</v>
      </c>
      <c r="B14" s="137" t="s">
        <v>276</v>
      </c>
      <c r="C14" s="132">
        <v>0</v>
      </c>
      <c r="D14" s="132">
        <f t="shared" si="15"/>
        <v>0</v>
      </c>
      <c r="E14" s="132">
        <f t="shared" si="15"/>
        <v>0</v>
      </c>
      <c r="F14" s="132">
        <f t="shared" si="15"/>
        <v>0</v>
      </c>
      <c r="G14" s="141">
        <f t="shared" si="3"/>
        <v>0</v>
      </c>
      <c r="H14" s="132">
        <f>F14</f>
        <v>0</v>
      </c>
      <c r="I14" s="132">
        <f t="shared" si="16"/>
        <v>0</v>
      </c>
      <c r="J14" s="132">
        <f t="shared" si="16"/>
        <v>0</v>
      </c>
      <c r="K14" s="132">
        <f t="shared" si="16"/>
        <v>0</v>
      </c>
      <c r="L14" s="141">
        <f t="shared" si="4"/>
        <v>0</v>
      </c>
      <c r="M14" s="136" t="str">
        <f t="shared" si="5"/>
        <v>9.</v>
      </c>
      <c r="N14" s="137" t="str">
        <f t="shared" si="6"/>
        <v>Прочие доходы (расшифровать)</v>
      </c>
      <c r="O14" s="132">
        <f>K14</f>
        <v>0</v>
      </c>
      <c r="P14" s="132">
        <f t="shared" si="17"/>
        <v>0</v>
      </c>
      <c r="Q14" s="132">
        <f t="shared" si="17"/>
        <v>0</v>
      </c>
      <c r="R14" s="132">
        <f t="shared" si="17"/>
        <v>0</v>
      </c>
      <c r="S14" s="141">
        <f t="shared" si="7"/>
        <v>0</v>
      </c>
      <c r="T14" s="132">
        <f>R14</f>
        <v>0</v>
      </c>
      <c r="U14" s="132">
        <f t="shared" si="18"/>
        <v>0</v>
      </c>
      <c r="V14" s="132">
        <f t="shared" si="18"/>
        <v>0</v>
      </c>
      <c r="W14" s="132">
        <f t="shared" si="18"/>
        <v>0</v>
      </c>
      <c r="X14" s="141">
        <f t="shared" si="8"/>
        <v>0</v>
      </c>
      <c r="Y14" s="205"/>
      <c r="Z14" s="137" t="str">
        <f>N14</f>
        <v>Прочие доходы (расшифровать)</v>
      </c>
      <c r="AA14" s="132">
        <f>W14</f>
        <v>0</v>
      </c>
      <c r="AB14" s="132">
        <f t="shared" si="19"/>
        <v>0</v>
      </c>
      <c r="AC14" s="132">
        <f t="shared" si="19"/>
        <v>0</v>
      </c>
      <c r="AD14" s="132">
        <f t="shared" si="19"/>
        <v>0</v>
      </c>
      <c r="AE14" s="141">
        <f t="shared" si="10"/>
        <v>0</v>
      </c>
      <c r="AF14" s="132">
        <f>AD14</f>
        <v>0</v>
      </c>
      <c r="AG14" s="132">
        <f t="shared" si="20"/>
        <v>0</v>
      </c>
      <c r="AH14" s="132">
        <f t="shared" si="20"/>
        <v>0</v>
      </c>
      <c r="AI14" s="132">
        <f t="shared" si="20"/>
        <v>0</v>
      </c>
      <c r="AJ14" s="141">
        <f t="shared" si="11"/>
        <v>0</v>
      </c>
      <c r="AK14" s="205"/>
      <c r="AL14" s="137" t="str">
        <f>Z14</f>
        <v>Прочие доходы (расшифровать)</v>
      </c>
      <c r="AM14" s="132">
        <f>AI14</f>
        <v>0</v>
      </c>
      <c r="AN14" s="132">
        <f t="shared" si="21"/>
        <v>0</v>
      </c>
      <c r="AO14" s="132">
        <f t="shared" si="21"/>
        <v>0</v>
      </c>
      <c r="AP14" s="132">
        <f t="shared" si="21"/>
        <v>0</v>
      </c>
      <c r="AQ14" s="141">
        <f t="shared" si="13"/>
        <v>0</v>
      </c>
      <c r="AR14" s="132">
        <f>AP14</f>
        <v>0</v>
      </c>
      <c r="AS14" s="132">
        <f t="shared" si="22"/>
        <v>0</v>
      </c>
      <c r="AT14" s="132">
        <f t="shared" si="22"/>
        <v>0</v>
      </c>
      <c r="AU14" s="132">
        <f t="shared" si="22"/>
        <v>0</v>
      </c>
      <c r="AV14" s="141">
        <f t="shared" si="14"/>
        <v>0</v>
      </c>
    </row>
    <row r="15" spans="1:48" ht="12.6" customHeight="1">
      <c r="A15" s="140" t="s">
        <v>196</v>
      </c>
      <c r="B15" s="137" t="s">
        <v>277</v>
      </c>
      <c r="C15" s="132">
        <f>'Т 8'!C13</f>
        <v>0</v>
      </c>
      <c r="D15" s="132">
        <f>'Т 8'!D13</f>
        <v>0</v>
      </c>
      <c r="E15" s="132">
        <f>'Т 8'!E13</f>
        <v>0</v>
      </c>
      <c r="F15" s="132">
        <f>'Т 8'!F13</f>
        <v>0</v>
      </c>
      <c r="G15" s="141">
        <f t="shared" si="3"/>
        <v>0</v>
      </c>
      <c r="H15" s="132">
        <f>'Т 8'!H13</f>
        <v>4616.9040412288132</v>
      </c>
      <c r="I15" s="132">
        <f>'Т 8'!I13</f>
        <v>4621.4983201836158</v>
      </c>
      <c r="J15" s="132">
        <f>'Т 8'!J13</f>
        <v>4626.0925991384183</v>
      </c>
      <c r="K15" s="132">
        <f>'Т 8'!K13</f>
        <v>4630.68687809322</v>
      </c>
      <c r="L15" s="141">
        <f t="shared" si="4"/>
        <v>18495.181838644068</v>
      </c>
      <c r="M15" s="136" t="str">
        <f t="shared" si="5"/>
        <v>10.</v>
      </c>
      <c r="N15" s="137" t="str">
        <f t="shared" si="6"/>
        <v>Текущий налог на прибыль</v>
      </c>
      <c r="O15" s="132">
        <f>'Т 8'!O13</f>
        <v>3537.3155255254715</v>
      </c>
      <c r="P15" s="132">
        <f>'Т 8'!P13</f>
        <v>3541.909804480274</v>
      </c>
      <c r="Q15" s="132">
        <f>'Т 8'!Q13</f>
        <v>3546.5040834350762</v>
      </c>
      <c r="R15" s="132">
        <f>'Т 8'!R13</f>
        <v>3551.0983623898787</v>
      </c>
      <c r="S15" s="141">
        <f t="shared" si="7"/>
        <v>14176.827775830701</v>
      </c>
      <c r="T15" s="132">
        <f>'Т 8'!T13</f>
        <v>3555.6926413446813</v>
      </c>
      <c r="U15" s="132">
        <f>'Т 8'!U13</f>
        <v>3560.286920299483</v>
      </c>
      <c r="V15" s="132">
        <f>'Т 8'!V13</f>
        <v>3564.8811992542855</v>
      </c>
      <c r="W15" s="132">
        <f>'Т 8'!W13</f>
        <v>3569.4754782090881</v>
      </c>
      <c r="X15" s="141">
        <f t="shared" si="8"/>
        <v>14250.336239107537</v>
      </c>
      <c r="Y15" s="205"/>
      <c r="Z15" s="137" t="str">
        <f>N15</f>
        <v>Текущий налог на прибыль</v>
      </c>
      <c r="AA15" s="132">
        <f>'Т 8'!AA13</f>
        <v>3574.0697571638902</v>
      </c>
      <c r="AB15" s="132">
        <f>'Т 8'!AB13</f>
        <v>3578.6640361186928</v>
      </c>
      <c r="AC15" s="132">
        <f>'Т 8'!AC13</f>
        <v>3583.2583150734954</v>
      </c>
      <c r="AD15" s="132">
        <f>'Т 8'!AD13</f>
        <v>3587.8525940282971</v>
      </c>
      <c r="AE15" s="141">
        <f t="shared" si="10"/>
        <v>14323.844702384376</v>
      </c>
      <c r="AF15" s="132">
        <f>'Т 8'!AF13</f>
        <v>3592.4468729830996</v>
      </c>
      <c r="AG15" s="132">
        <f>'Т 8'!AG13</f>
        <v>3597.0411519379022</v>
      </c>
      <c r="AH15" s="132">
        <f>'Т 8'!AH13</f>
        <v>3601.6354308927039</v>
      </c>
      <c r="AI15" s="132">
        <f>'Т 8'!AI13</f>
        <v>3606.2297098475065</v>
      </c>
      <c r="AJ15" s="141">
        <f t="shared" si="11"/>
        <v>14397.353165661212</v>
      </c>
      <c r="AK15" s="205"/>
      <c r="AL15" s="137" t="str">
        <f>Z15</f>
        <v>Текущий налог на прибыль</v>
      </c>
      <c r="AM15" s="132">
        <f>'Т 8'!AM13</f>
        <v>3610.8239888023086</v>
      </c>
      <c r="AN15" s="132">
        <f>'Т 8'!AN13</f>
        <v>3615.4182677571112</v>
      </c>
      <c r="AO15" s="132">
        <f>'Т 8'!AO13</f>
        <v>3620.0125467119128</v>
      </c>
      <c r="AP15" s="132">
        <f>'Т 8'!AP13</f>
        <v>3624.6068256667154</v>
      </c>
      <c r="AQ15" s="141">
        <f t="shared" si="13"/>
        <v>14470.861628938048</v>
      </c>
      <c r="AR15" s="132">
        <f>'Т 8'!AR13</f>
        <v>3629.201104621518</v>
      </c>
      <c r="AS15" s="132">
        <f>'Т 8'!AS13</f>
        <v>3633.7953835763201</v>
      </c>
      <c r="AT15" s="132">
        <f>'Т 8'!AT13</f>
        <v>3638.3896625311227</v>
      </c>
      <c r="AU15" s="132">
        <f>'Т 8'!AU13</f>
        <v>3642.9839414859252</v>
      </c>
      <c r="AV15" s="141">
        <f t="shared" si="14"/>
        <v>14544.370092214886</v>
      </c>
    </row>
    <row r="16" spans="1:48" ht="12.6" customHeight="1">
      <c r="A16" s="140" t="s">
        <v>278</v>
      </c>
      <c r="B16" s="137" t="s">
        <v>279</v>
      </c>
      <c r="C16" s="132">
        <f>C19-C15</f>
        <v>-173.875</v>
      </c>
      <c r="D16" s="132">
        <f>D19-D15</f>
        <v>-173.875</v>
      </c>
      <c r="E16" s="132">
        <f>E19-E15</f>
        <v>-173.875</v>
      </c>
      <c r="F16" s="132">
        <f>F19-F15</f>
        <v>-173.875</v>
      </c>
      <c r="G16" s="141">
        <f t="shared" si="3"/>
        <v>-695.5</v>
      </c>
      <c r="H16" s="132">
        <f>H19-H15</f>
        <v>18467.616164915253</v>
      </c>
      <c r="I16" s="132">
        <f>I19-I15</f>
        <v>18485.993280734463</v>
      </c>
      <c r="J16" s="132">
        <f>J19-J15</f>
        <v>18504.370396553673</v>
      </c>
      <c r="K16" s="132">
        <f>K19-K15</f>
        <v>18522.74751237288</v>
      </c>
      <c r="L16" s="141">
        <f t="shared" si="4"/>
        <v>73980.727354576273</v>
      </c>
      <c r="M16" s="136" t="str">
        <f t="shared" si="5"/>
        <v>11.</v>
      </c>
      <c r="N16" s="137" t="str">
        <f t="shared" si="6"/>
        <v>Чистая прибыль</v>
      </c>
      <c r="O16" s="132">
        <f>O19-O15</f>
        <v>14149.262102101886</v>
      </c>
      <c r="P16" s="132">
        <f>P19-P15</f>
        <v>14167.639217921096</v>
      </c>
      <c r="Q16" s="132">
        <f>Q19-Q15</f>
        <v>14186.016333740303</v>
      </c>
      <c r="R16" s="132">
        <f>R19-R15</f>
        <v>14204.393449559513</v>
      </c>
      <c r="S16" s="141">
        <f t="shared" si="7"/>
        <v>56707.311103322805</v>
      </c>
      <c r="T16" s="132">
        <f>T19-T15</f>
        <v>14222.770565378723</v>
      </c>
      <c r="U16" s="132">
        <f>U19-U15</f>
        <v>14241.147681197932</v>
      </c>
      <c r="V16" s="132">
        <f>V19-V15</f>
        <v>14259.524797017142</v>
      </c>
      <c r="W16" s="132">
        <f>W19-W15</f>
        <v>14277.901912836352</v>
      </c>
      <c r="X16" s="141">
        <f t="shared" si="8"/>
        <v>57001.344956430148</v>
      </c>
      <c r="Y16" s="136" t="str">
        <f>M16</f>
        <v>11.</v>
      </c>
      <c r="Z16" s="137" t="str">
        <f>N16</f>
        <v>Чистая прибыль</v>
      </c>
      <c r="AA16" s="132">
        <f>AA19-AA15</f>
        <v>14296.279028655559</v>
      </c>
      <c r="AB16" s="132">
        <f>AB19-AB15</f>
        <v>14314.656144474769</v>
      </c>
      <c r="AC16" s="132">
        <f>AC19-AC15</f>
        <v>14333.03326029398</v>
      </c>
      <c r="AD16" s="132">
        <f>AD19-AD15</f>
        <v>14351.410376113188</v>
      </c>
      <c r="AE16" s="141">
        <f t="shared" si="10"/>
        <v>57295.378809537491</v>
      </c>
      <c r="AF16" s="132">
        <f>AF19-AF15</f>
        <v>14369.787491932399</v>
      </c>
      <c r="AG16" s="132">
        <f>AG19-AG15</f>
        <v>14388.164607751609</v>
      </c>
      <c r="AH16" s="132">
        <f>AH19-AH15</f>
        <v>14406.541723570816</v>
      </c>
      <c r="AI16" s="132">
        <f>AI19-AI15</f>
        <v>14424.918839390026</v>
      </c>
      <c r="AJ16" s="141">
        <f t="shared" si="11"/>
        <v>57589.412662644849</v>
      </c>
      <c r="AK16" s="136" t="str">
        <f>Y16</f>
        <v>11.</v>
      </c>
      <c r="AL16" s="137" t="str">
        <f>Z16</f>
        <v>Чистая прибыль</v>
      </c>
      <c r="AM16" s="132">
        <f>AM19-AM15</f>
        <v>14443.295955209232</v>
      </c>
      <c r="AN16" s="132">
        <f>AN19-AN15</f>
        <v>14461.673071028443</v>
      </c>
      <c r="AO16" s="132">
        <f>AO19-AO15</f>
        <v>14480.050186847651</v>
      </c>
      <c r="AP16" s="132">
        <f>AP19-AP15</f>
        <v>14498.427302666862</v>
      </c>
      <c r="AQ16" s="141">
        <f t="shared" si="13"/>
        <v>57883.446515752184</v>
      </c>
      <c r="AR16" s="132">
        <f>AR19-AR15</f>
        <v>14516.804418486072</v>
      </c>
      <c r="AS16" s="132">
        <f>AS19-AS15</f>
        <v>14535.181534305279</v>
      </c>
      <c r="AT16" s="132">
        <f>AT19-AT15</f>
        <v>14553.558650124489</v>
      </c>
      <c r="AU16" s="132">
        <f>AU19-AU15</f>
        <v>14571.935765943699</v>
      </c>
      <c r="AV16" s="141">
        <f t="shared" si="14"/>
        <v>58177.480368859542</v>
      </c>
    </row>
    <row r="17" spans="1:48" ht="12.6" customHeight="1">
      <c r="A17" s="140" t="s">
        <v>280</v>
      </c>
      <c r="B17" s="137" t="s">
        <v>281</v>
      </c>
      <c r="C17" s="190">
        <f>C16/(C6-C16)</f>
        <v>-1</v>
      </c>
      <c r="D17" s="190">
        <f t="shared" ref="D17:L17" si="23">D16/(D6-D16)</f>
        <v>-1</v>
      </c>
      <c r="E17" s="190">
        <f t="shared" si="23"/>
        <v>-1</v>
      </c>
      <c r="F17" s="190">
        <f t="shared" si="23"/>
        <v>-1</v>
      </c>
      <c r="G17" s="190">
        <f t="shared" si="23"/>
        <v>-1</v>
      </c>
      <c r="H17" s="190">
        <f t="shared" si="23"/>
        <v>0.44959206338756208</v>
      </c>
      <c r="I17" s="190">
        <f t="shared" si="23"/>
        <v>0.45024088497847919</v>
      </c>
      <c r="J17" s="190">
        <f t="shared" si="23"/>
        <v>0.45089028764040689</v>
      </c>
      <c r="K17" s="190">
        <f t="shared" si="23"/>
        <v>0.45154027215428716</v>
      </c>
      <c r="L17" s="190">
        <f t="shared" si="23"/>
        <v>0.4505655136267907</v>
      </c>
      <c r="M17" s="136" t="str">
        <f t="shared" si="5"/>
        <v>12.</v>
      </c>
      <c r="N17" s="137" t="str">
        <f t="shared" si="6"/>
        <v>Рентабельность деятельности</v>
      </c>
      <c r="O17" s="190">
        <f>O16/(O6-O16)</f>
        <v>0.31169388253604235</v>
      </c>
      <c r="P17" s="190">
        <f t="shared" ref="P17:X17" si="24">P16/(P6-P16)</f>
        <v>0.3122251095887027</v>
      </c>
      <c r="Q17" s="190">
        <f t="shared" si="24"/>
        <v>0.3127567671023439</v>
      </c>
      <c r="R17" s="190">
        <f t="shared" si="24"/>
        <v>0.31328885560039149</v>
      </c>
      <c r="S17" s="190">
        <f t="shared" si="24"/>
        <v>0.31249088450520651</v>
      </c>
      <c r="T17" s="190">
        <f t="shared" si="24"/>
        <v>0.31382137560711953</v>
      </c>
      <c r="U17" s="190">
        <f t="shared" si="24"/>
        <v>0.31435432764765275</v>
      </c>
      <c r="V17" s="190">
        <f t="shared" si="24"/>
        <v>0.31488771224796874</v>
      </c>
      <c r="W17" s="190">
        <f t="shared" si="24"/>
        <v>0.31542152993489875</v>
      </c>
      <c r="X17" s="190">
        <f t="shared" si="24"/>
        <v>0.31462096584493099</v>
      </c>
      <c r="Y17" s="136" t="str">
        <f>M17</f>
        <v>12.</v>
      </c>
      <c r="Z17" s="137" t="str">
        <f>N17</f>
        <v>Рентабельность деятельности</v>
      </c>
      <c r="AA17" s="190">
        <f>AA16/(AA6-AA16)</f>
        <v>0.31595578123613011</v>
      </c>
      <c r="AB17" s="190">
        <f t="shared" ref="AB17:AJ17" si="25">AB16/(AB6-AB16)</f>
        <v>0.3164904666802078</v>
      </c>
      <c r="AC17" s="190">
        <f t="shared" si="25"/>
        <v>0.31702558679653614</v>
      </c>
      <c r="AD17" s="190">
        <f t="shared" si="25"/>
        <v>0.31756114211538045</v>
      </c>
      <c r="AE17" s="190">
        <f t="shared" si="25"/>
        <v>0.31675797237121922</v>
      </c>
      <c r="AF17" s="190">
        <f t="shared" si="25"/>
        <v>0.31809713316786908</v>
      </c>
      <c r="AG17" s="190">
        <f t="shared" si="25"/>
        <v>0.31863356048599489</v>
      </c>
      <c r="AH17" s="190">
        <f t="shared" si="25"/>
        <v>0.31917042460261708</v>
      </c>
      <c r="AI17" s="190">
        <f t="shared" si="25"/>
        <v>0.31970772605146314</v>
      </c>
      <c r="AJ17" s="190">
        <f t="shared" si="25"/>
        <v>0.31890193791115634</v>
      </c>
      <c r="AK17" s="136" t="str">
        <f>Y17</f>
        <v>12.</v>
      </c>
      <c r="AL17" s="137" t="str">
        <f>Z17</f>
        <v>Рентабельность деятельности</v>
      </c>
      <c r="AM17" s="190">
        <f>AM16/AM6</f>
        <v>0.24256509396764128</v>
      </c>
      <c r="AN17" s="190">
        <f t="shared" ref="AN17:AV17" si="26">AN16/AN6</f>
        <v>0.24287372482581693</v>
      </c>
      <c r="AO17" s="190">
        <f t="shared" si="26"/>
        <v>0.24318235568399252</v>
      </c>
      <c r="AP17" s="190">
        <f t="shared" si="26"/>
        <v>0.24349098654216816</v>
      </c>
      <c r="AQ17" s="190">
        <f t="shared" si="26"/>
        <v>0.24302804025490471</v>
      </c>
      <c r="AR17" s="190">
        <f t="shared" si="26"/>
        <v>0.24379961740034381</v>
      </c>
      <c r="AS17" s="190">
        <f t="shared" si="26"/>
        <v>0.2441082482585194</v>
      </c>
      <c r="AT17" s="190">
        <f t="shared" si="26"/>
        <v>0.24441687911669502</v>
      </c>
      <c r="AU17" s="190">
        <f t="shared" si="26"/>
        <v>0.24472550997487066</v>
      </c>
      <c r="AV17" s="190">
        <f t="shared" si="26"/>
        <v>0.24426256368760724</v>
      </c>
    </row>
    <row r="18" spans="1:48" ht="15" customHeight="1">
      <c r="A18" s="18"/>
      <c r="B18" s="206"/>
      <c r="C18" s="94">
        <f>C20</f>
        <v>0</v>
      </c>
      <c r="D18" s="94">
        <f>C18+D20</f>
        <v>0</v>
      </c>
      <c r="E18" s="94">
        <f>D18+E20</f>
        <v>0</v>
      </c>
      <c r="F18" s="94">
        <f>E18+F20</f>
        <v>0</v>
      </c>
      <c r="G18" s="18"/>
      <c r="H18" s="94">
        <f>F18+H20</f>
        <v>34099.56</v>
      </c>
      <c r="I18" s="94">
        <f>H18+I20</f>
        <v>68199.12</v>
      </c>
      <c r="J18" s="94">
        <f>I18+J20</f>
        <v>102298.68</v>
      </c>
      <c r="K18" s="94">
        <f>J18+K20</f>
        <v>136398.24</v>
      </c>
      <c r="L18" s="35">
        <v>1</v>
      </c>
      <c r="M18" s="18"/>
      <c r="N18" s="18"/>
      <c r="O18" s="94">
        <f>K18+O20</f>
        <v>170497.8</v>
      </c>
      <c r="P18" s="94">
        <f>O18+P20</f>
        <v>204597.36</v>
      </c>
      <c r="Q18" s="94">
        <f>P18+Q20</f>
        <v>238696.91999999998</v>
      </c>
      <c r="R18" s="94">
        <f>Q18+R20</f>
        <v>272796.48</v>
      </c>
      <c r="S18" s="35">
        <v>2</v>
      </c>
      <c r="T18" s="94">
        <f>R18+T20</f>
        <v>306896.03999999998</v>
      </c>
      <c r="U18" s="94">
        <f>T18+U20</f>
        <v>340995.6</v>
      </c>
      <c r="V18" s="94">
        <f>U18+V20</f>
        <v>375095.16</v>
      </c>
      <c r="W18" s="94">
        <f>V18+W20</f>
        <v>409194.72</v>
      </c>
      <c r="X18" s="35">
        <v>3</v>
      </c>
      <c r="Y18" s="18"/>
      <c r="Z18" s="18"/>
      <c r="AA18" s="94">
        <f>W18+AA20</f>
        <v>443294.27999999997</v>
      </c>
      <c r="AB18" s="94">
        <f>AA18+AB20</f>
        <v>477393.83999999997</v>
      </c>
      <c r="AC18" s="94">
        <f>AB18+AC20</f>
        <v>511493.39999999997</v>
      </c>
      <c r="AD18" s="94">
        <f>AC18+AD20</f>
        <v>545592.96</v>
      </c>
      <c r="AE18" s="35">
        <v>4</v>
      </c>
      <c r="AF18" s="94">
        <f>AD18+AF20</f>
        <v>579692.52</v>
      </c>
      <c r="AG18" s="94">
        <f>AF18+AG20</f>
        <v>613792.08000000007</v>
      </c>
      <c r="AH18" s="94">
        <f>AG18+AH20</f>
        <v>647891.64000000013</v>
      </c>
      <c r="AI18" s="94">
        <f>AH18+AI20</f>
        <v>681991.20000000019</v>
      </c>
      <c r="AJ18" s="35">
        <v>5</v>
      </c>
      <c r="AK18" s="18"/>
      <c r="AL18" s="18"/>
      <c r="AM18" s="94">
        <f>AI18+AM20</f>
        <v>716090.76000000024</v>
      </c>
      <c r="AN18" s="94">
        <f>AM18+AN20</f>
        <v>750190.3200000003</v>
      </c>
      <c r="AO18" s="94">
        <f>AN18+AO20</f>
        <v>784289.88000000035</v>
      </c>
      <c r="AP18" s="94">
        <f>AO18+AP20</f>
        <v>818389.44000000041</v>
      </c>
      <c r="AQ18" s="35">
        <v>6</v>
      </c>
      <c r="AR18" s="94">
        <f>AP18+AR20</f>
        <v>852489.00000000047</v>
      </c>
      <c r="AS18" s="94">
        <f>AR18+AS20</f>
        <v>886588.56000000052</v>
      </c>
      <c r="AT18" s="94">
        <f>AS18+AT20</f>
        <v>920688.12000000058</v>
      </c>
      <c r="AU18" s="94">
        <f>AT18+AU20</f>
        <v>954787.68000000063</v>
      </c>
      <c r="AV18" s="35">
        <v>7</v>
      </c>
    </row>
    <row r="19" spans="1:48" ht="15" customHeight="1">
      <c r="A19" s="2"/>
      <c r="B19" s="183" t="s">
        <v>282</v>
      </c>
      <c r="C19" s="146">
        <f t="shared" ref="C19:L19" si="27">C8-SUM(C9:C13)+C14</f>
        <v>-173.875</v>
      </c>
      <c r="D19" s="146">
        <f t="shared" si="27"/>
        <v>-173.875</v>
      </c>
      <c r="E19" s="146">
        <f t="shared" si="27"/>
        <v>-173.875</v>
      </c>
      <c r="F19" s="146">
        <f t="shared" si="27"/>
        <v>-173.875</v>
      </c>
      <c r="G19" s="146">
        <f t="shared" si="27"/>
        <v>-695.5</v>
      </c>
      <c r="H19" s="146">
        <f t="shared" si="27"/>
        <v>23084.520206144065</v>
      </c>
      <c r="I19" s="146">
        <f t="shared" si="27"/>
        <v>23107.491600918078</v>
      </c>
      <c r="J19" s="146">
        <f t="shared" si="27"/>
        <v>23130.462995692091</v>
      </c>
      <c r="K19" s="146">
        <f t="shared" si="27"/>
        <v>23153.4343904661</v>
      </c>
      <c r="L19" s="146">
        <f t="shared" si="27"/>
        <v>92475.90919322033</v>
      </c>
      <c r="M19" s="2"/>
      <c r="N19" s="2"/>
      <c r="O19" s="146">
        <f t="shared" ref="O19:X19" si="28">O8-SUM(O9:O13)+O14</f>
        <v>17686.577627627357</v>
      </c>
      <c r="P19" s="146">
        <f t="shared" si="28"/>
        <v>17709.54902240137</v>
      </c>
      <c r="Q19" s="146">
        <f t="shared" si="28"/>
        <v>17732.520417175379</v>
      </c>
      <c r="R19" s="146">
        <f t="shared" si="28"/>
        <v>17755.491811949392</v>
      </c>
      <c r="S19" s="146">
        <f t="shared" si="28"/>
        <v>70884.138879153499</v>
      </c>
      <c r="T19" s="146">
        <f t="shared" si="28"/>
        <v>17778.463206723405</v>
      </c>
      <c r="U19" s="146">
        <f t="shared" si="28"/>
        <v>17801.434601497414</v>
      </c>
      <c r="V19" s="146">
        <f t="shared" si="28"/>
        <v>17824.405996271427</v>
      </c>
      <c r="W19" s="146">
        <f t="shared" si="28"/>
        <v>17847.37739104544</v>
      </c>
      <c r="X19" s="146">
        <f t="shared" si="28"/>
        <v>71251.681195537676</v>
      </c>
      <c r="Y19" s="2"/>
      <c r="Z19" s="2"/>
      <c r="AA19" s="146">
        <f t="shared" ref="AA19:AJ19" si="29">AA8-SUM(AA9:AA13)+AA14</f>
        <v>17870.348785819449</v>
      </c>
      <c r="AB19" s="146">
        <f t="shared" si="29"/>
        <v>17893.320180593462</v>
      </c>
      <c r="AC19" s="146">
        <f t="shared" si="29"/>
        <v>17916.291575367475</v>
      </c>
      <c r="AD19" s="146">
        <f t="shared" si="29"/>
        <v>17939.262970141484</v>
      </c>
      <c r="AE19" s="146">
        <f t="shared" si="29"/>
        <v>71619.223511921868</v>
      </c>
      <c r="AF19" s="146">
        <f t="shared" si="29"/>
        <v>17962.234364915497</v>
      </c>
      <c r="AG19" s="146">
        <f t="shared" si="29"/>
        <v>17985.20575968951</v>
      </c>
      <c r="AH19" s="146">
        <f t="shared" si="29"/>
        <v>18008.177154463519</v>
      </c>
      <c r="AI19" s="146">
        <f t="shared" si="29"/>
        <v>18031.148549237532</v>
      </c>
      <c r="AJ19" s="146">
        <f t="shared" si="29"/>
        <v>71986.765828306059</v>
      </c>
      <c r="AK19" s="2"/>
      <c r="AL19" s="2"/>
      <c r="AM19" s="146">
        <f t="shared" ref="AM19:AV19" si="30">AM8-SUM(AM9:AM13)+AM14</f>
        <v>18054.119944011542</v>
      </c>
      <c r="AN19" s="146">
        <f t="shared" si="30"/>
        <v>18077.091338785554</v>
      </c>
      <c r="AO19" s="146">
        <f t="shared" si="30"/>
        <v>18100.062733559564</v>
      </c>
      <c r="AP19" s="146">
        <f t="shared" si="30"/>
        <v>18123.034128333577</v>
      </c>
      <c r="AQ19" s="146">
        <f t="shared" si="30"/>
        <v>72354.308144690236</v>
      </c>
      <c r="AR19" s="146">
        <f t="shared" si="30"/>
        <v>18146.005523107589</v>
      </c>
      <c r="AS19" s="146">
        <f t="shared" si="30"/>
        <v>18168.976917881599</v>
      </c>
      <c r="AT19" s="146">
        <f t="shared" si="30"/>
        <v>18191.948312655612</v>
      </c>
      <c r="AU19" s="146">
        <f t="shared" si="30"/>
        <v>18214.919707429624</v>
      </c>
      <c r="AV19" s="146">
        <f t="shared" si="30"/>
        <v>72721.850461074428</v>
      </c>
    </row>
    <row r="20" spans="1:48" ht="15" customHeight="1">
      <c r="A20" s="2"/>
      <c r="B20" s="207"/>
      <c r="C20" s="146">
        <f>C8</f>
        <v>0</v>
      </c>
      <c r="D20" s="146">
        <f>D8</f>
        <v>0</v>
      </c>
      <c r="E20" s="146">
        <f>E8</f>
        <v>0</v>
      </c>
      <c r="F20" s="146">
        <f>F8</f>
        <v>0</v>
      </c>
      <c r="G20" s="146">
        <f>G8-G9-G10</f>
        <v>-695.5</v>
      </c>
      <c r="H20" s="146">
        <f>H8</f>
        <v>34099.56</v>
      </c>
      <c r="I20" s="146">
        <f>I8</f>
        <v>34099.56</v>
      </c>
      <c r="J20" s="146">
        <f>J8</f>
        <v>34099.56</v>
      </c>
      <c r="K20" s="146">
        <f>K8</f>
        <v>34099.56</v>
      </c>
      <c r="L20" s="146">
        <f>L8-L9-L10</f>
        <v>98742.804984180781</v>
      </c>
      <c r="M20" s="2"/>
      <c r="N20" s="2"/>
      <c r="O20" s="146">
        <f>O8</f>
        <v>34099.56</v>
      </c>
      <c r="P20" s="146">
        <f>P8</f>
        <v>34099.56</v>
      </c>
      <c r="Q20" s="146">
        <f>Q8</f>
        <v>34099.56</v>
      </c>
      <c r="R20" s="146">
        <f>R8</f>
        <v>34099.56</v>
      </c>
      <c r="S20" s="146">
        <f>S8-S9-S10</f>
        <v>98742.804984180781</v>
      </c>
      <c r="T20" s="146">
        <f>T8</f>
        <v>34099.56</v>
      </c>
      <c r="U20" s="146">
        <f>U8</f>
        <v>34099.56</v>
      </c>
      <c r="V20" s="146">
        <f>V8</f>
        <v>34099.56</v>
      </c>
      <c r="W20" s="146">
        <f>W8</f>
        <v>34099.56</v>
      </c>
      <c r="X20" s="146">
        <f>X8-X9-X10</f>
        <v>98742.804984180781</v>
      </c>
      <c r="Y20" s="2"/>
      <c r="Z20" s="2"/>
      <c r="AA20" s="146">
        <f>AA8</f>
        <v>34099.56</v>
      </c>
      <c r="AB20" s="146">
        <f>AB8</f>
        <v>34099.56</v>
      </c>
      <c r="AC20" s="146">
        <f>AC8</f>
        <v>34099.56</v>
      </c>
      <c r="AD20" s="146">
        <f>AD8</f>
        <v>34099.56</v>
      </c>
      <c r="AE20" s="146">
        <f>AE8-AE9-AE10</f>
        <v>98742.804984180781</v>
      </c>
      <c r="AF20" s="146">
        <f>AF8</f>
        <v>34099.56</v>
      </c>
      <c r="AG20" s="146">
        <f>AG8</f>
        <v>34099.56</v>
      </c>
      <c r="AH20" s="146">
        <f>AH8</f>
        <v>34099.56</v>
      </c>
      <c r="AI20" s="146">
        <f>AI8</f>
        <v>34099.56</v>
      </c>
      <c r="AJ20" s="146">
        <f>AJ8-AJ9-AJ10</f>
        <v>98742.804984180781</v>
      </c>
      <c r="AK20" s="2"/>
      <c r="AL20" s="2"/>
      <c r="AM20" s="146">
        <f>AM8</f>
        <v>34099.56</v>
      </c>
      <c r="AN20" s="146">
        <f>AN8</f>
        <v>34099.56</v>
      </c>
      <c r="AO20" s="146">
        <f>AO8</f>
        <v>34099.56</v>
      </c>
      <c r="AP20" s="146">
        <f>AP8</f>
        <v>34099.56</v>
      </c>
      <c r="AQ20" s="146">
        <f>AQ8-AQ9-AQ10</f>
        <v>98742.804984180781</v>
      </c>
      <c r="AR20" s="146">
        <f>AR8</f>
        <v>34099.56</v>
      </c>
      <c r="AS20" s="146">
        <f>AS8</f>
        <v>34099.56</v>
      </c>
      <c r="AT20" s="146">
        <f>AT8</f>
        <v>34099.56</v>
      </c>
      <c r="AU20" s="146">
        <f>AU8</f>
        <v>34099.56</v>
      </c>
      <c r="AV20" s="146">
        <f>AV8-AV9-AV10</f>
        <v>98742.804984180781</v>
      </c>
    </row>
    <row r="21" spans="1:48" ht="15" customHeight="1">
      <c r="A21" s="2"/>
      <c r="B21" s="2"/>
      <c r="C21" s="146">
        <f>C19-'Т 1'!D14</f>
        <v>-53423.875</v>
      </c>
      <c r="D21" s="146">
        <f>D19-'Т 1'!E14</f>
        <v>-53423.875</v>
      </c>
      <c r="E21" s="146">
        <f>E19-'Т 1'!F14</f>
        <v>-111423.875</v>
      </c>
      <c r="F21" s="146">
        <f>F19-'Т 1'!G14</f>
        <v>-111423.875</v>
      </c>
      <c r="G21" s="146">
        <f>G19-'Т 1'!H14</f>
        <v>-329695.5</v>
      </c>
      <c r="H21" s="146">
        <f>H19-'Т 1'!I14</f>
        <v>23084.520206144065</v>
      </c>
      <c r="I21" s="146">
        <f>I19-'Т 1'!J14</f>
        <v>23107.491600918078</v>
      </c>
      <c r="J21" s="146">
        <f>J19-'Т 1'!K14</f>
        <v>23130.462995692091</v>
      </c>
      <c r="K21" s="146">
        <f>K19-'Т 1'!L14</f>
        <v>23153.4343904661</v>
      </c>
      <c r="L21" s="146">
        <f>L19-'Т 1'!M14</f>
        <v>92475.90919322033</v>
      </c>
      <c r="M21" s="2"/>
      <c r="N21" s="2"/>
      <c r="O21" s="146">
        <f>O19-'Т 1'!P14</f>
        <v>17686.577627627357</v>
      </c>
      <c r="P21" s="146">
        <f>P19-'Т 1'!Q14</f>
        <v>17709.54902240137</v>
      </c>
      <c r="Q21" s="146">
        <f>Q19-'Т 1'!R14</f>
        <v>17732.520417175379</v>
      </c>
      <c r="R21" s="146">
        <f>R19-'Т 1'!S14</f>
        <v>17755.491811949392</v>
      </c>
      <c r="S21" s="146">
        <f>S19-'Т 1'!T14</f>
        <v>70884.138879153499</v>
      </c>
      <c r="T21" s="146">
        <f>T19-'Т 1'!U14</f>
        <v>17778.463206723405</v>
      </c>
      <c r="U21" s="146">
        <f>U19-'Т 1'!V14</f>
        <v>17801.434601497414</v>
      </c>
      <c r="V21" s="146">
        <f>V19-'Т 1'!W14</f>
        <v>17824.405996271427</v>
      </c>
      <c r="W21" s="146">
        <f>W19-'Т 1'!X14</f>
        <v>17847.37739104544</v>
      </c>
      <c r="X21" s="146">
        <f>X19-'Т 1'!Y14</f>
        <v>71251.681195537676</v>
      </c>
      <c r="Y21" s="2"/>
      <c r="Z21" s="2"/>
      <c r="AA21" s="146">
        <f>AA19-'Т 1'!AB14</f>
        <v>17870.348785819449</v>
      </c>
      <c r="AB21" s="146">
        <f>AB19-'Т 1'!AC14</f>
        <v>17893.320180593462</v>
      </c>
      <c r="AC21" s="146">
        <f>AC19-'Т 1'!AD14</f>
        <v>17916.291575367475</v>
      </c>
      <c r="AD21" s="146">
        <f>AD19-'Т 1'!AE14</f>
        <v>17939.262970141484</v>
      </c>
      <c r="AE21" s="146">
        <f>AE19-'Т 1'!AF14</f>
        <v>71619.223511921868</v>
      </c>
      <c r="AF21" s="146">
        <f>AF19-'Т 1'!AG14</f>
        <v>17962.234364915497</v>
      </c>
      <c r="AG21" s="146">
        <f>AG19-'Т 1'!AH14</f>
        <v>17985.20575968951</v>
      </c>
      <c r="AH21" s="146">
        <f>AH19-'Т 1'!AI14</f>
        <v>18008.177154463519</v>
      </c>
      <c r="AI21" s="146">
        <f>AI19-'Т 1'!AJ14</f>
        <v>18031.148549237532</v>
      </c>
      <c r="AJ21" s="146">
        <f>AJ19-'Т 1'!AK14</f>
        <v>71986.765828306059</v>
      </c>
      <c r="AK21" s="2"/>
      <c r="AL21" s="2"/>
      <c r="AM21" s="146">
        <f>AM19-'Т 1'!AN14</f>
        <v>18054.119944011542</v>
      </c>
      <c r="AN21" s="146">
        <f>AN19-'Т 1'!AO14</f>
        <v>18077.091338785554</v>
      </c>
      <c r="AO21" s="146">
        <f>AO19-'Т 1'!AP14</f>
        <v>18100.062733559564</v>
      </c>
      <c r="AP21" s="146">
        <f>AP19-'Т 1'!AQ14</f>
        <v>18123.034128333577</v>
      </c>
      <c r="AQ21" s="146">
        <f>AQ19-'Т 1'!AR14</f>
        <v>72354.308144690236</v>
      </c>
      <c r="AR21" s="146">
        <f>AR19-'Т 1'!AS14</f>
        <v>18146.005523107589</v>
      </c>
      <c r="AS21" s="146">
        <f>AS19-'Т 1'!AT14</f>
        <v>18168.976917881599</v>
      </c>
      <c r="AT21" s="146">
        <f>AT19-'Т 1'!AU14</f>
        <v>18191.948312655612</v>
      </c>
      <c r="AU21" s="146">
        <f>AU19-'Т 1'!AV14</f>
        <v>18214.919707429624</v>
      </c>
      <c r="AV21" s="146">
        <f>AV19-'Т 1'!AW14</f>
        <v>72721.850461074428</v>
      </c>
    </row>
  </sheetData>
  <mergeCells count="24">
    <mergeCell ref="Y3:Y4"/>
    <mergeCell ref="Z3:Z4"/>
    <mergeCell ref="AK1:AV1"/>
    <mergeCell ref="AK2:AV2"/>
    <mergeCell ref="AK3:AK4"/>
    <mergeCell ref="AL3:AL4"/>
    <mergeCell ref="AM3:AQ3"/>
    <mergeCell ref="AR3:AV3"/>
    <mergeCell ref="A1:L1"/>
    <mergeCell ref="A2:L2"/>
    <mergeCell ref="A3:A4"/>
    <mergeCell ref="B3:B4"/>
    <mergeCell ref="Y1:AJ1"/>
    <mergeCell ref="Y2:AJ2"/>
    <mergeCell ref="C3:G3"/>
    <mergeCell ref="H3:L3"/>
    <mergeCell ref="AA3:AE3"/>
    <mergeCell ref="AF3:AJ3"/>
    <mergeCell ref="M1:X1"/>
    <mergeCell ref="M2:X2"/>
    <mergeCell ref="M3:M4"/>
    <mergeCell ref="N3:N4"/>
    <mergeCell ref="O3:S3"/>
    <mergeCell ref="T3:X3"/>
  </mergeCells>
  <pageMargins left="0.78740200000000005" right="0.78740200000000005" top="1.1811" bottom="0.59055100000000005" header="0.51181100000000002" footer="0.51181100000000002"/>
  <pageSetup scale="89" orientation="landscape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6"/>
  <sheetViews>
    <sheetView showGridLines="0" topLeftCell="AI24" workbookViewId="0">
      <selection activeCell="AU42" sqref="AU42"/>
    </sheetView>
  </sheetViews>
  <sheetFormatPr defaultColWidth="9.109375" defaultRowHeight="10.199999999999999" customHeight="1"/>
  <cols>
    <col min="1" max="1" width="4.5546875" style="208" customWidth="1"/>
    <col min="2" max="2" width="32.109375" style="208" customWidth="1"/>
    <col min="3" max="4" width="9.109375" style="208" customWidth="1"/>
    <col min="5" max="7" width="10.109375" style="208" customWidth="1"/>
    <col min="8" max="11" width="10.44140625" style="208" customWidth="1"/>
    <col min="12" max="12" width="11.109375" style="208" customWidth="1"/>
    <col min="13" max="13" width="4.5546875" style="208" customWidth="1"/>
    <col min="14" max="14" width="32.109375" style="208" customWidth="1"/>
    <col min="15" max="15" width="10.44140625" style="208" customWidth="1"/>
    <col min="16" max="18" width="11.44140625" style="208" customWidth="1"/>
    <col min="19" max="19" width="11.109375" style="208" customWidth="1"/>
    <col min="20" max="23" width="9.109375" style="208" customWidth="1"/>
    <col min="24" max="24" width="11.109375" style="208" customWidth="1"/>
    <col min="25" max="25" width="4.5546875" style="208" customWidth="1"/>
    <col min="26" max="26" width="32.109375" style="208" customWidth="1"/>
    <col min="27" max="30" width="9.109375" style="208" customWidth="1"/>
    <col min="31" max="31" width="11.109375" style="208" customWidth="1"/>
    <col min="32" max="35" width="9.109375" style="208" customWidth="1"/>
    <col min="36" max="36" width="11.109375" style="208" customWidth="1"/>
    <col min="37" max="37" width="4.5546875" style="208" customWidth="1"/>
    <col min="38" max="38" width="32.109375" style="208" customWidth="1"/>
    <col min="39" max="42" width="9.109375" style="208" customWidth="1"/>
    <col min="43" max="43" width="11.109375" style="208" customWidth="1"/>
    <col min="44" max="47" width="9.109375" style="208" customWidth="1"/>
    <col min="48" max="48" width="11.109375" style="208" customWidth="1"/>
    <col min="49" max="256" width="9.109375" style="208" customWidth="1"/>
  </cols>
  <sheetData>
    <row r="1" spans="1:48" ht="11.7" customHeight="1">
      <c r="A1" s="356" t="s">
        <v>265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6" t="s">
        <v>283</v>
      </c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6" t="s">
        <v>267</v>
      </c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6" t="s">
        <v>267</v>
      </c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</row>
    <row r="2" spans="1:48" ht="11.7" customHeight="1">
      <c r="A2" s="364" t="s">
        <v>284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64" t="str">
        <f>A2</f>
        <v>Движение денежных средств</v>
      </c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</row>
    <row r="3" spans="1:48" ht="12.75" customHeight="1">
      <c r="A3" s="359" t="s">
        <v>53</v>
      </c>
      <c r="B3" s="359" t="s">
        <v>104</v>
      </c>
      <c r="C3" s="361" t="str">
        <f>'Исходные данные'!$B$26+G41&amp;" год"</f>
        <v>2021 год</v>
      </c>
      <c r="D3" s="362"/>
      <c r="E3" s="362"/>
      <c r="F3" s="362"/>
      <c r="G3" s="363"/>
      <c r="H3" s="361" t="str">
        <f>'Исходные данные'!$B$26+L41&amp;" год"</f>
        <v>2022 год</v>
      </c>
      <c r="I3" s="362"/>
      <c r="J3" s="362"/>
      <c r="K3" s="362"/>
      <c r="L3" s="363"/>
      <c r="M3" s="359" t="s">
        <v>53</v>
      </c>
      <c r="N3" s="359" t="s">
        <v>104</v>
      </c>
      <c r="O3" s="361" t="str">
        <f>'Исходные данные'!$B$26+S41&amp;" год"</f>
        <v>2023 год</v>
      </c>
      <c r="P3" s="362"/>
      <c r="Q3" s="362"/>
      <c r="R3" s="362"/>
      <c r="S3" s="363"/>
      <c r="T3" s="361" t="str">
        <f>'Исходные данные'!$B$26+X41&amp;" год"</f>
        <v>2024 год</v>
      </c>
      <c r="U3" s="362"/>
      <c r="V3" s="362"/>
      <c r="W3" s="362"/>
      <c r="X3" s="363"/>
      <c r="Y3" s="359" t="s">
        <v>53</v>
      </c>
      <c r="Z3" s="359" t="s">
        <v>104</v>
      </c>
      <c r="AA3" s="361" t="str">
        <f>'Исходные данные'!$B$26+AE41&amp;" год"</f>
        <v>2025 год</v>
      </c>
      <c r="AB3" s="362"/>
      <c r="AC3" s="362"/>
      <c r="AD3" s="362"/>
      <c r="AE3" s="363"/>
      <c r="AF3" s="361" t="str">
        <f>'Исходные данные'!$B$26+AJ41&amp;" год"</f>
        <v>2026 год</v>
      </c>
      <c r="AG3" s="362"/>
      <c r="AH3" s="362"/>
      <c r="AI3" s="362"/>
      <c r="AJ3" s="363"/>
      <c r="AK3" s="359" t="s">
        <v>53</v>
      </c>
      <c r="AL3" s="359" t="s">
        <v>104</v>
      </c>
      <c r="AM3" s="361" t="str">
        <f>'Исходные данные'!$B$26+AQ41&amp;" год"</f>
        <v>2027 год</v>
      </c>
      <c r="AN3" s="362"/>
      <c r="AO3" s="362"/>
      <c r="AP3" s="362"/>
      <c r="AQ3" s="363"/>
      <c r="AR3" s="361" t="str">
        <f>'Исходные данные'!$B$26+AV41&amp;" год"</f>
        <v>2028 год</v>
      </c>
      <c r="AS3" s="362"/>
      <c r="AT3" s="362"/>
      <c r="AU3" s="362"/>
      <c r="AV3" s="363"/>
    </row>
    <row r="4" spans="1:48" ht="11.7" customHeight="1">
      <c r="A4" s="360"/>
      <c r="B4" s="360"/>
      <c r="C4" s="209" t="s">
        <v>58</v>
      </c>
      <c r="D4" s="209" t="s">
        <v>59</v>
      </c>
      <c r="E4" s="209" t="s">
        <v>60</v>
      </c>
      <c r="F4" s="209" t="s">
        <v>61</v>
      </c>
      <c r="G4" s="209" t="s">
        <v>62</v>
      </c>
      <c r="H4" s="209" t="s">
        <v>58</v>
      </c>
      <c r="I4" s="209" t="s">
        <v>59</v>
      </c>
      <c r="J4" s="209" t="s">
        <v>60</v>
      </c>
      <c r="K4" s="209" t="s">
        <v>61</v>
      </c>
      <c r="L4" s="209" t="s">
        <v>62</v>
      </c>
      <c r="M4" s="360"/>
      <c r="N4" s="360"/>
      <c r="O4" s="209" t="s">
        <v>58</v>
      </c>
      <c r="P4" s="209" t="s">
        <v>59</v>
      </c>
      <c r="Q4" s="209" t="s">
        <v>60</v>
      </c>
      <c r="R4" s="209" t="s">
        <v>61</v>
      </c>
      <c r="S4" s="209" t="s">
        <v>62</v>
      </c>
      <c r="T4" s="209" t="s">
        <v>58</v>
      </c>
      <c r="U4" s="209" t="s">
        <v>59</v>
      </c>
      <c r="V4" s="209" t="s">
        <v>60</v>
      </c>
      <c r="W4" s="209" t="s">
        <v>61</v>
      </c>
      <c r="X4" s="209" t="s">
        <v>62</v>
      </c>
      <c r="Y4" s="360"/>
      <c r="Z4" s="360"/>
      <c r="AA4" s="209" t="s">
        <v>58</v>
      </c>
      <c r="AB4" s="209" t="s">
        <v>59</v>
      </c>
      <c r="AC4" s="209" t="s">
        <v>60</v>
      </c>
      <c r="AD4" s="209" t="s">
        <v>61</v>
      </c>
      <c r="AE4" s="209" t="s">
        <v>62</v>
      </c>
      <c r="AF4" s="209" t="s">
        <v>58</v>
      </c>
      <c r="AG4" s="209" t="s">
        <v>59</v>
      </c>
      <c r="AH4" s="209" t="s">
        <v>60</v>
      </c>
      <c r="AI4" s="209" t="s">
        <v>61</v>
      </c>
      <c r="AJ4" s="209" t="s">
        <v>62</v>
      </c>
      <c r="AK4" s="360"/>
      <c r="AL4" s="360"/>
      <c r="AM4" s="209" t="s">
        <v>58</v>
      </c>
      <c r="AN4" s="209" t="s">
        <v>59</v>
      </c>
      <c r="AO4" s="209" t="s">
        <v>60</v>
      </c>
      <c r="AP4" s="209" t="s">
        <v>61</v>
      </c>
      <c r="AQ4" s="209" t="s">
        <v>62</v>
      </c>
      <c r="AR4" s="209" t="s">
        <v>58</v>
      </c>
      <c r="AS4" s="209" t="s">
        <v>59</v>
      </c>
      <c r="AT4" s="209" t="s">
        <v>60</v>
      </c>
      <c r="AU4" s="209" t="s">
        <v>61</v>
      </c>
      <c r="AV4" s="209" t="s">
        <v>62</v>
      </c>
    </row>
    <row r="5" spans="1:48" ht="11.7" customHeight="1">
      <c r="A5" s="210">
        <v>1</v>
      </c>
      <c r="B5" s="210">
        <v>2</v>
      </c>
      <c r="C5" s="210">
        <v>3</v>
      </c>
      <c r="D5" s="210">
        <f t="shared" ref="D5:L5" si="0">C5+1</f>
        <v>4</v>
      </c>
      <c r="E5" s="210">
        <f t="shared" si="0"/>
        <v>5</v>
      </c>
      <c r="F5" s="210">
        <f t="shared" si="0"/>
        <v>6</v>
      </c>
      <c r="G5" s="210">
        <f t="shared" si="0"/>
        <v>7</v>
      </c>
      <c r="H5" s="210">
        <f t="shared" si="0"/>
        <v>8</v>
      </c>
      <c r="I5" s="210">
        <f t="shared" si="0"/>
        <v>9</v>
      </c>
      <c r="J5" s="210">
        <f t="shared" si="0"/>
        <v>10</v>
      </c>
      <c r="K5" s="210">
        <f t="shared" si="0"/>
        <v>11</v>
      </c>
      <c r="L5" s="210">
        <f t="shared" si="0"/>
        <v>12</v>
      </c>
      <c r="M5" s="210">
        <v>1</v>
      </c>
      <c r="N5" s="210">
        <v>2</v>
      </c>
      <c r="O5" s="210">
        <f>L5+1</f>
        <v>13</v>
      </c>
      <c r="P5" s="210">
        <f>O5+1</f>
        <v>14</v>
      </c>
      <c r="Q5" s="210">
        <f>P5+1</f>
        <v>15</v>
      </c>
      <c r="R5" s="210">
        <f>Q5+1</f>
        <v>16</v>
      </c>
      <c r="S5" s="210">
        <f>R5+1</f>
        <v>17</v>
      </c>
      <c r="T5" s="211"/>
      <c r="U5" s="211"/>
      <c r="V5" s="211"/>
      <c r="W5" s="210">
        <v>17</v>
      </c>
      <c r="X5" s="210">
        <f>W5+1</f>
        <v>18</v>
      </c>
      <c r="Y5" s="210">
        <v>1</v>
      </c>
      <c r="Z5" s="210">
        <v>2</v>
      </c>
      <c r="AA5" s="211"/>
      <c r="AB5" s="211"/>
      <c r="AC5" s="211"/>
      <c r="AD5" s="210">
        <v>18</v>
      </c>
      <c r="AE5" s="210">
        <f t="shared" ref="AE5:AJ5" si="1">AD5+1</f>
        <v>19</v>
      </c>
      <c r="AF5" s="210">
        <f t="shared" si="1"/>
        <v>20</v>
      </c>
      <c r="AG5" s="210">
        <f t="shared" si="1"/>
        <v>21</v>
      </c>
      <c r="AH5" s="210">
        <f t="shared" si="1"/>
        <v>22</v>
      </c>
      <c r="AI5" s="210">
        <f t="shared" si="1"/>
        <v>23</v>
      </c>
      <c r="AJ5" s="210">
        <f t="shared" si="1"/>
        <v>24</v>
      </c>
      <c r="AK5" s="210">
        <v>1</v>
      </c>
      <c r="AL5" s="210">
        <v>2</v>
      </c>
      <c r="AM5" s="210">
        <f>AJ5+1</f>
        <v>25</v>
      </c>
      <c r="AN5" s="210">
        <f t="shared" ref="AN5:AV5" si="2">AM5+1</f>
        <v>26</v>
      </c>
      <c r="AO5" s="210">
        <f t="shared" si="2"/>
        <v>27</v>
      </c>
      <c r="AP5" s="210">
        <f t="shared" si="2"/>
        <v>28</v>
      </c>
      <c r="AQ5" s="210">
        <f t="shared" si="2"/>
        <v>29</v>
      </c>
      <c r="AR5" s="210">
        <f t="shared" si="2"/>
        <v>30</v>
      </c>
      <c r="AS5" s="210">
        <f t="shared" si="2"/>
        <v>31</v>
      </c>
      <c r="AT5" s="210">
        <f t="shared" si="2"/>
        <v>32</v>
      </c>
      <c r="AU5" s="210">
        <f t="shared" si="2"/>
        <v>33</v>
      </c>
      <c r="AV5" s="210">
        <f t="shared" si="2"/>
        <v>34</v>
      </c>
    </row>
    <row r="6" spans="1:48" ht="24.75" customHeight="1">
      <c r="A6" s="352" t="s">
        <v>285</v>
      </c>
      <c r="B6" s="353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348" t="str">
        <f>A6</f>
        <v>Движение денежных средств по текущей деятельности</v>
      </c>
      <c r="N6" s="349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348" t="str">
        <f>M6</f>
        <v>Движение денежных средств по текущей деятельности</v>
      </c>
      <c r="Z6" s="349"/>
      <c r="AA6" s="212"/>
      <c r="AB6" s="212"/>
      <c r="AC6" s="212"/>
      <c r="AD6" s="212"/>
      <c r="AE6" s="212"/>
      <c r="AF6" s="211"/>
      <c r="AG6" s="211"/>
      <c r="AH6" s="211"/>
      <c r="AI6" s="211"/>
      <c r="AJ6" s="211"/>
      <c r="AK6" s="348" t="str">
        <f>Y6</f>
        <v>Движение денежных средств по текущей деятельности</v>
      </c>
      <c r="AL6" s="349"/>
      <c r="AM6" s="212"/>
      <c r="AN6" s="212"/>
      <c r="AO6" s="212"/>
      <c r="AP6" s="212"/>
      <c r="AQ6" s="212"/>
      <c r="AR6" s="211"/>
      <c r="AS6" s="211"/>
      <c r="AT6" s="211"/>
      <c r="AU6" s="211"/>
      <c r="AV6" s="211"/>
    </row>
    <row r="7" spans="1:48" ht="12.75" customHeight="1">
      <c r="A7" s="213" t="s">
        <v>63</v>
      </c>
      <c r="B7" s="214" t="s">
        <v>286</v>
      </c>
      <c r="C7" s="212">
        <f>SUM(C8:C10)</f>
        <v>0</v>
      </c>
      <c r="D7" s="212">
        <f>SUM(D8:D10)</f>
        <v>0</v>
      </c>
      <c r="E7" s="212">
        <f>SUM(E8:E10)</f>
        <v>0</v>
      </c>
      <c r="F7" s="212">
        <f>SUM(F8:F10)</f>
        <v>0</v>
      </c>
      <c r="G7" s="215">
        <f t="shared" ref="G7:G12" si="3">C7+D7+E7+F7</f>
        <v>0</v>
      </c>
      <c r="H7" s="212">
        <f>SUM(H8:H10)</f>
        <v>67666.881355932201</v>
      </c>
      <c r="I7" s="212">
        <f>SUM(I8:I10)</f>
        <v>67666.881355932201</v>
      </c>
      <c r="J7" s="212">
        <f>SUM(J8:J10)</f>
        <v>76514.338983050839</v>
      </c>
      <c r="K7" s="212">
        <f>SUM(K8:K10)</f>
        <v>76514.338983050839</v>
      </c>
      <c r="L7" s="215">
        <f t="shared" ref="L7:L17" si="4">H7+I7+J7+K7</f>
        <v>288362.44067796611</v>
      </c>
      <c r="M7" s="213" t="str">
        <f>A7</f>
        <v>1.</v>
      </c>
      <c r="N7" s="214" t="str">
        <f t="shared" ref="N7:N17" si="5">B7</f>
        <v xml:space="preserve">Денежные средства, полученные:     </v>
      </c>
      <c r="O7" s="212">
        <f>SUM(O8:O10)</f>
        <v>59544</v>
      </c>
      <c r="P7" s="212">
        <f>SUM(P8:P10)</f>
        <v>59544</v>
      </c>
      <c r="Q7" s="212">
        <f>SUM(Q8:Q10)</f>
        <v>59544</v>
      </c>
      <c r="R7" s="212">
        <f>SUM(R8:R10)</f>
        <v>59544</v>
      </c>
      <c r="S7" s="215">
        <f t="shared" ref="S7:S12" si="6">O7+P7+Q7+R7</f>
        <v>238176</v>
      </c>
      <c r="T7" s="212">
        <f>SUM(T8:T10)</f>
        <v>59544</v>
      </c>
      <c r="U7" s="212">
        <f>SUM(U8:U10)</f>
        <v>59544</v>
      </c>
      <c r="V7" s="212">
        <f>SUM(V8:V10)</f>
        <v>59544</v>
      </c>
      <c r="W7" s="212">
        <f>SUM(W8:W10)</f>
        <v>59544</v>
      </c>
      <c r="X7" s="215">
        <f t="shared" ref="X7:X17" si="7">T7+U7+V7+W7</f>
        <v>238176</v>
      </c>
      <c r="Y7" s="213" t="str">
        <f>M7</f>
        <v>1.</v>
      </c>
      <c r="Z7" s="214" t="str">
        <f t="shared" ref="Z7:Z17" si="8">N7</f>
        <v xml:space="preserve">Денежные средства, полученные:     </v>
      </c>
      <c r="AA7" s="212">
        <f>SUM(AA8:AA10)</f>
        <v>59544</v>
      </c>
      <c r="AB7" s="212">
        <f>SUM(AB8:AB10)</f>
        <v>59544</v>
      </c>
      <c r="AC7" s="212">
        <f>SUM(AC8:AC10)</f>
        <v>59544</v>
      </c>
      <c r="AD7" s="212">
        <f>SUM(AD8:AD10)</f>
        <v>59544</v>
      </c>
      <c r="AE7" s="215">
        <f t="shared" ref="AE7:AE17" si="9">AA7+AB7+AC7+AD7</f>
        <v>238176</v>
      </c>
      <c r="AF7" s="212">
        <f>SUM(AF8:AF10)</f>
        <v>59544</v>
      </c>
      <c r="AG7" s="212">
        <f>SUM(AG8:AG10)</f>
        <v>59544</v>
      </c>
      <c r="AH7" s="212">
        <f>SUM(AH8:AH10)</f>
        <v>59544</v>
      </c>
      <c r="AI7" s="212">
        <f>SUM(AI8:AI10)</f>
        <v>59544</v>
      </c>
      <c r="AJ7" s="215">
        <f t="shared" ref="AJ7:AJ17" si="10">AF7+AG7+AH7+AI7</f>
        <v>238176</v>
      </c>
      <c r="AK7" s="213" t="str">
        <f>Y7</f>
        <v>1.</v>
      </c>
      <c r="AL7" s="214" t="str">
        <f t="shared" ref="AL7:AL17" si="11">Z7</f>
        <v xml:space="preserve">Денежные средства, полученные:     </v>
      </c>
      <c r="AM7" s="212">
        <f>SUM(AM8:AM10)</f>
        <v>59544</v>
      </c>
      <c r="AN7" s="212">
        <f>SUM(AN8:AN10)</f>
        <v>59544</v>
      </c>
      <c r="AO7" s="212">
        <f>SUM(AO8:AO10)</f>
        <v>59544</v>
      </c>
      <c r="AP7" s="212">
        <f>SUM(AP8:AP10)</f>
        <v>59544</v>
      </c>
      <c r="AQ7" s="215">
        <f t="shared" ref="AQ7:AQ17" si="12">AM7+AN7+AO7+AP7</f>
        <v>238176</v>
      </c>
      <c r="AR7" s="212">
        <f>SUM(AR8:AR10)</f>
        <v>59544</v>
      </c>
      <c r="AS7" s="212">
        <f>SUM(AS8:AS10)</f>
        <v>59544</v>
      </c>
      <c r="AT7" s="212">
        <f>SUM(AT8:AT10)</f>
        <v>59544</v>
      </c>
      <c r="AU7" s="212">
        <f>SUM(AU8:AU10)</f>
        <v>59544</v>
      </c>
      <c r="AV7" s="215">
        <f t="shared" ref="AV7:AV17" si="13">AR7+AS7+AT7+AU7</f>
        <v>238176</v>
      </c>
    </row>
    <row r="8" spans="1:48" ht="11.7" customHeight="1">
      <c r="A8" s="216"/>
      <c r="B8" s="217" t="s">
        <v>287</v>
      </c>
      <c r="C8" s="212">
        <f>'Т 3'!D56</f>
        <v>0</v>
      </c>
      <c r="D8" s="212">
        <f>'Т 3'!E56</f>
        <v>0</v>
      </c>
      <c r="E8" s="212">
        <f>'Т 3'!F56</f>
        <v>0</v>
      </c>
      <c r="F8" s="212">
        <f>'Т 3'!G56</f>
        <v>0</v>
      </c>
      <c r="G8" s="212">
        <f t="shared" si="3"/>
        <v>0</v>
      </c>
      <c r="H8" s="212">
        <f>'Т 3'!I56</f>
        <v>59544</v>
      </c>
      <c r="I8" s="212">
        <f>'Т 3'!J56</f>
        <v>59544</v>
      </c>
      <c r="J8" s="212">
        <f>'Т 3'!K56</f>
        <v>59544</v>
      </c>
      <c r="K8" s="212">
        <f>'Т 3'!L56</f>
        <v>59544</v>
      </c>
      <c r="L8" s="212">
        <f t="shared" si="4"/>
        <v>238176</v>
      </c>
      <c r="M8" s="216"/>
      <c r="N8" s="217" t="str">
        <f t="shared" si="5"/>
        <v xml:space="preserve">   от покупателей</v>
      </c>
      <c r="O8" s="212">
        <f>'Т 3'!Q56</f>
        <v>59544</v>
      </c>
      <c r="P8" s="212">
        <f>'Т 3'!R56</f>
        <v>59544</v>
      </c>
      <c r="Q8" s="212">
        <f>'Т 3'!S56</f>
        <v>59544</v>
      </c>
      <c r="R8" s="212">
        <f>'Т 3'!T56</f>
        <v>59544</v>
      </c>
      <c r="S8" s="212">
        <f t="shared" si="6"/>
        <v>238176</v>
      </c>
      <c r="T8" s="212">
        <f>'Т 3'!V56</f>
        <v>59544</v>
      </c>
      <c r="U8" s="212">
        <f>'Т 3'!W56</f>
        <v>59544</v>
      </c>
      <c r="V8" s="212">
        <f>'Т 3'!X56</f>
        <v>59544</v>
      </c>
      <c r="W8" s="212">
        <f>'Т 3'!Y56</f>
        <v>59544</v>
      </c>
      <c r="X8" s="212">
        <f t="shared" si="7"/>
        <v>238176</v>
      </c>
      <c r="Y8" s="216"/>
      <c r="Z8" s="217" t="str">
        <f t="shared" si="8"/>
        <v xml:space="preserve">   от покупателей</v>
      </c>
      <c r="AA8" s="212">
        <f>'Т 3'!AD56</f>
        <v>59544</v>
      </c>
      <c r="AB8" s="212">
        <f>'Т 3'!AE56</f>
        <v>59544</v>
      </c>
      <c r="AC8" s="212">
        <f>'Т 3'!AF56</f>
        <v>59544</v>
      </c>
      <c r="AD8" s="212">
        <f>'Т 3'!AG56</f>
        <v>59544</v>
      </c>
      <c r="AE8" s="212">
        <f t="shared" si="9"/>
        <v>238176</v>
      </c>
      <c r="AF8" s="212">
        <f>'Т 3'!AI56</f>
        <v>59544</v>
      </c>
      <c r="AG8" s="212">
        <f>'Т 3'!AJ56</f>
        <v>59544</v>
      </c>
      <c r="AH8" s="212">
        <f>'Т 3'!AK56</f>
        <v>59544</v>
      </c>
      <c r="AI8" s="212">
        <f>'Т 3'!AL56</f>
        <v>59544</v>
      </c>
      <c r="AJ8" s="212">
        <f t="shared" si="10"/>
        <v>238176</v>
      </c>
      <c r="AK8" s="216"/>
      <c r="AL8" s="217" t="str">
        <f t="shared" si="11"/>
        <v xml:space="preserve">   от покупателей</v>
      </c>
      <c r="AM8" s="212">
        <f>'Т 3'!AQ56</f>
        <v>59544</v>
      </c>
      <c r="AN8" s="212">
        <f>'Т 3'!AR56</f>
        <v>59544</v>
      </c>
      <c r="AO8" s="212">
        <f>'Т 3'!AS56</f>
        <v>59544</v>
      </c>
      <c r="AP8" s="212">
        <f>'Т 3'!AT56</f>
        <v>59544</v>
      </c>
      <c r="AQ8" s="212">
        <f t="shared" si="12"/>
        <v>238176</v>
      </c>
      <c r="AR8" s="212">
        <f>'Т 3'!AV56</f>
        <v>59544</v>
      </c>
      <c r="AS8" s="212">
        <f>'Т 3'!AW56</f>
        <v>59544</v>
      </c>
      <c r="AT8" s="212">
        <f>'Т 3'!AX56</f>
        <v>59544</v>
      </c>
      <c r="AU8" s="212">
        <f>'Т 3'!AY56</f>
        <v>59544</v>
      </c>
      <c r="AV8" s="212">
        <f t="shared" si="13"/>
        <v>238176</v>
      </c>
    </row>
    <row r="9" spans="1:48" ht="11.7" customHeight="1">
      <c r="A9" s="216"/>
      <c r="B9" s="217" t="s">
        <v>288</v>
      </c>
      <c r="C9" s="212">
        <f>'Т 8'!C9</f>
        <v>0</v>
      </c>
      <c r="D9" s="212">
        <f>'Т 8'!D9</f>
        <v>0</v>
      </c>
      <c r="E9" s="212">
        <f>'Т 8'!E9</f>
        <v>0</v>
      </c>
      <c r="F9" s="212">
        <f>'Т 8'!F9</f>
        <v>0</v>
      </c>
      <c r="G9" s="212">
        <f t="shared" si="3"/>
        <v>0</v>
      </c>
      <c r="H9" s="212">
        <f>'Т 8'!H9</f>
        <v>8122.8813559322034</v>
      </c>
      <c r="I9" s="212">
        <f>'Т 8'!I9</f>
        <v>8122.8813559322034</v>
      </c>
      <c r="J9" s="212">
        <f>'Т 8'!J9</f>
        <v>16970.338983050846</v>
      </c>
      <c r="K9" s="212">
        <f>'Т 8'!K9</f>
        <v>16970.338983050846</v>
      </c>
      <c r="L9" s="212">
        <f t="shared" si="4"/>
        <v>50186.4406779661</v>
      </c>
      <c r="M9" s="216"/>
      <c r="N9" s="217" t="str">
        <f t="shared" si="5"/>
        <v xml:space="preserve">   НДС к возмещению</v>
      </c>
      <c r="O9" s="212">
        <f>'Т 8'!O9</f>
        <v>0</v>
      </c>
      <c r="P9" s="212">
        <f>'Т 8'!P9</f>
        <v>0</v>
      </c>
      <c r="Q9" s="212">
        <f>'Т 8'!Q9</f>
        <v>0</v>
      </c>
      <c r="R9" s="212">
        <f>'Т 8'!R9</f>
        <v>0</v>
      </c>
      <c r="S9" s="212">
        <f t="shared" si="6"/>
        <v>0</v>
      </c>
      <c r="T9" s="212">
        <f>'Т 8'!T9</f>
        <v>0</v>
      </c>
      <c r="U9" s="212">
        <f>'Т 8'!U9</f>
        <v>0</v>
      </c>
      <c r="V9" s="212">
        <f>'Т 8'!V9</f>
        <v>0</v>
      </c>
      <c r="W9" s="212">
        <f>'Т 8'!W9</f>
        <v>0</v>
      </c>
      <c r="X9" s="212">
        <f t="shared" si="7"/>
        <v>0</v>
      </c>
      <c r="Y9" s="216"/>
      <c r="Z9" s="217" t="str">
        <f t="shared" si="8"/>
        <v xml:space="preserve">   НДС к возмещению</v>
      </c>
      <c r="AA9" s="212">
        <f>'Т 8'!AA9</f>
        <v>0</v>
      </c>
      <c r="AB9" s="212">
        <f>'Т 8'!AB9</f>
        <v>0</v>
      </c>
      <c r="AC9" s="212">
        <f>'Т 8'!AC9</f>
        <v>0</v>
      </c>
      <c r="AD9" s="212">
        <f>'Т 8'!AD9</f>
        <v>0</v>
      </c>
      <c r="AE9" s="212">
        <f t="shared" si="9"/>
        <v>0</v>
      </c>
      <c r="AF9" s="212">
        <f>'Т 8'!AF9</f>
        <v>0</v>
      </c>
      <c r="AG9" s="212">
        <f>'Т 8'!AG9</f>
        <v>0</v>
      </c>
      <c r="AH9" s="212">
        <f>'Т 8'!AH9</f>
        <v>0</v>
      </c>
      <c r="AI9" s="212">
        <f>'Т 8'!AI9</f>
        <v>0</v>
      </c>
      <c r="AJ9" s="212">
        <f t="shared" si="10"/>
        <v>0</v>
      </c>
      <c r="AK9" s="216"/>
      <c r="AL9" s="217" t="str">
        <f t="shared" si="11"/>
        <v xml:space="preserve">   НДС к возмещению</v>
      </c>
      <c r="AM9" s="212">
        <f>'Т 8'!AM9</f>
        <v>0</v>
      </c>
      <c r="AN9" s="212">
        <f>'Т 8'!AN9</f>
        <v>0</v>
      </c>
      <c r="AO9" s="212">
        <f>'Т 8'!AO9</f>
        <v>0</v>
      </c>
      <c r="AP9" s="212">
        <f>'Т 8'!AP9</f>
        <v>0</v>
      </c>
      <c r="AQ9" s="212">
        <f t="shared" si="12"/>
        <v>0</v>
      </c>
      <c r="AR9" s="212">
        <f>'Т 8'!AR9</f>
        <v>0</v>
      </c>
      <c r="AS9" s="212">
        <f>'Т 8'!AS9</f>
        <v>0</v>
      </c>
      <c r="AT9" s="212">
        <f>'Т 8'!AT9</f>
        <v>0</v>
      </c>
      <c r="AU9" s="212">
        <f>'Т 8'!AU9</f>
        <v>0</v>
      </c>
      <c r="AV9" s="212">
        <f t="shared" si="13"/>
        <v>0</v>
      </c>
    </row>
    <row r="10" spans="1:48" ht="11.7" customHeight="1">
      <c r="A10" s="218"/>
      <c r="B10" s="217" t="s">
        <v>289</v>
      </c>
      <c r="C10" s="212">
        <f>'Т 2'!D9+'Т 2'!D11</f>
        <v>0</v>
      </c>
      <c r="D10" s="212">
        <f>'Т 2'!E9+'Т 2'!E11</f>
        <v>0</v>
      </c>
      <c r="E10" s="212">
        <f>'Т 2'!F9+'Т 2'!F11</f>
        <v>0</v>
      </c>
      <c r="F10" s="212">
        <f>'Т 2'!G9+'Т 2'!G11</f>
        <v>0</v>
      </c>
      <c r="G10" s="212">
        <f t="shared" si="3"/>
        <v>0</v>
      </c>
      <c r="H10" s="212">
        <f>'Т 2'!I9+'Т 2'!I11</f>
        <v>0</v>
      </c>
      <c r="I10" s="212">
        <f>'Т 2'!J9+'Т 2'!J11</f>
        <v>0</v>
      </c>
      <c r="J10" s="212">
        <f>'Т 2'!K9+'Т 2'!K11</f>
        <v>0</v>
      </c>
      <c r="K10" s="212">
        <f>'Т 2'!L9+'Т 2'!L11</f>
        <v>0</v>
      </c>
      <c r="L10" s="212">
        <f t="shared" si="4"/>
        <v>0</v>
      </c>
      <c r="M10" s="216"/>
      <c r="N10" s="217" t="str">
        <f t="shared" si="5"/>
        <v xml:space="preserve">   прочие доходы </v>
      </c>
      <c r="O10" s="212">
        <f>'Т 2'!Q9+'Т 2'!Q11</f>
        <v>0</v>
      </c>
      <c r="P10" s="212">
        <f>'Т 2'!R9+'Т 2'!R11</f>
        <v>0</v>
      </c>
      <c r="Q10" s="212">
        <f>'Т 2'!S9+'Т 2'!S11</f>
        <v>0</v>
      </c>
      <c r="R10" s="212">
        <f>'Т 2'!T9+'Т 2'!T11</f>
        <v>0</v>
      </c>
      <c r="S10" s="212">
        <f t="shared" si="6"/>
        <v>0</v>
      </c>
      <c r="T10" s="212">
        <f>'Т 2'!V9+'Т 2'!V11</f>
        <v>0</v>
      </c>
      <c r="U10" s="212">
        <f>'Т 2'!W9+'Т 2'!W11</f>
        <v>0</v>
      </c>
      <c r="V10" s="212">
        <f>'Т 2'!X9+'Т 2'!X11</f>
        <v>0</v>
      </c>
      <c r="W10" s="212">
        <f>'Т 2'!Y9+'Т 2'!Y11</f>
        <v>0</v>
      </c>
      <c r="X10" s="212">
        <f t="shared" si="7"/>
        <v>0</v>
      </c>
      <c r="Y10" s="216"/>
      <c r="Z10" s="217" t="str">
        <f t="shared" si="8"/>
        <v xml:space="preserve">   прочие доходы </v>
      </c>
      <c r="AA10" s="212">
        <f>'Т 2'!AC9+'Т 2'!AC11</f>
        <v>0</v>
      </c>
      <c r="AB10" s="212">
        <f>'Т 2'!AD9+'Т 2'!AD11</f>
        <v>0</v>
      </c>
      <c r="AC10" s="212">
        <f>'Т 2'!AE9+'Т 2'!AE11</f>
        <v>0</v>
      </c>
      <c r="AD10" s="212">
        <f>'Т 2'!AF9+'Т 2'!AF11</f>
        <v>0</v>
      </c>
      <c r="AE10" s="212">
        <f t="shared" si="9"/>
        <v>0</v>
      </c>
      <c r="AF10" s="212">
        <f>'Т 2'!AH9+'Т 2'!AH11</f>
        <v>0</v>
      </c>
      <c r="AG10" s="212">
        <f>'Т 2'!AI9+'Т 2'!AI11</f>
        <v>0</v>
      </c>
      <c r="AH10" s="212">
        <f>'Т 2'!AJ9+'Т 2'!AJ11</f>
        <v>0</v>
      </c>
      <c r="AI10" s="212">
        <f>'Т 2'!AK9+'Т 2'!AK11</f>
        <v>0</v>
      </c>
      <c r="AJ10" s="212">
        <f t="shared" si="10"/>
        <v>0</v>
      </c>
      <c r="AK10" s="216"/>
      <c r="AL10" s="217" t="str">
        <f t="shared" si="11"/>
        <v xml:space="preserve">   прочие доходы </v>
      </c>
      <c r="AM10" s="212">
        <f>'Т 2'!AO9+'Т 2'!AO11</f>
        <v>0</v>
      </c>
      <c r="AN10" s="212">
        <f>'Т 2'!AP9+'Т 2'!AP11</f>
        <v>0</v>
      </c>
      <c r="AO10" s="212">
        <f>'Т 2'!AQ9+'Т 2'!AQ11</f>
        <v>0</v>
      </c>
      <c r="AP10" s="212">
        <f>'Т 2'!AR9+'Т 2'!AR11</f>
        <v>0</v>
      </c>
      <c r="AQ10" s="212">
        <f t="shared" si="12"/>
        <v>0</v>
      </c>
      <c r="AR10" s="212">
        <f>'Т 2'!AT9+'Т 2'!AT11</f>
        <v>0</v>
      </c>
      <c r="AS10" s="212">
        <f>'Т 2'!AU9+'Т 2'!AU11</f>
        <v>0</v>
      </c>
      <c r="AT10" s="212">
        <f>'Т 2'!AV9+'Т 2'!AV11</f>
        <v>0</v>
      </c>
      <c r="AU10" s="212">
        <f>'Т 2'!AW9+'Т 2'!AW11</f>
        <v>0</v>
      </c>
      <c r="AV10" s="212">
        <f t="shared" si="13"/>
        <v>0</v>
      </c>
    </row>
    <row r="11" spans="1:48" ht="11.25" customHeight="1">
      <c r="A11" s="219" t="s">
        <v>68</v>
      </c>
      <c r="B11" s="214" t="s">
        <v>290</v>
      </c>
      <c r="C11" s="212">
        <f>SUM(C12:C16)</f>
        <v>0</v>
      </c>
      <c r="D11" s="212">
        <f>SUM(D12:D16)</f>
        <v>0</v>
      </c>
      <c r="E11" s="212">
        <f>SUM(E12:E16)</f>
        <v>0</v>
      </c>
      <c r="F11" s="212">
        <f>SUM(F12:F16)</f>
        <v>0</v>
      </c>
      <c r="G11" s="215">
        <f t="shared" si="3"/>
        <v>0</v>
      </c>
      <c r="H11" s="212">
        <f>SUM(H12:H16)</f>
        <v>36747.971603446327</v>
      </c>
      <c r="I11" s="212">
        <f>SUM(I12:I16)</f>
        <v>36729.594487627117</v>
      </c>
      <c r="J11" s="212">
        <f>SUM(J12:J16)</f>
        <v>36711.217371807914</v>
      </c>
      <c r="K11" s="212">
        <f>SUM(K12:K16)</f>
        <v>36692.840255988704</v>
      </c>
      <c r="L11" s="215">
        <f t="shared" si="4"/>
        <v>146881.62371887005</v>
      </c>
      <c r="M11" s="213" t="str">
        <f>A11</f>
        <v>2.</v>
      </c>
      <c r="N11" s="214" t="str">
        <f t="shared" si="5"/>
        <v>Денежные средства, направленные:</v>
      </c>
      <c r="O11" s="212">
        <f>SUM(O12:O16)</f>
        <v>41066.325666259698</v>
      </c>
      <c r="P11" s="212">
        <f>SUM(P12:P16)</f>
        <v>41047.948550440487</v>
      </c>
      <c r="Q11" s="212">
        <f>SUM(Q12:Q16)</f>
        <v>41029.571434621277</v>
      </c>
      <c r="R11" s="212">
        <f>SUM(R12:R16)</f>
        <v>41011.194318802067</v>
      </c>
      <c r="S11" s="215">
        <f t="shared" si="6"/>
        <v>164155.03997012353</v>
      </c>
      <c r="T11" s="212">
        <f>SUM(T12:T16)</f>
        <v>40992.817202982857</v>
      </c>
      <c r="U11" s="212">
        <f>SUM(U12:U16)</f>
        <v>40974.440087163646</v>
      </c>
      <c r="V11" s="212">
        <f>SUM(V12:V16)</f>
        <v>40956.062971344436</v>
      </c>
      <c r="W11" s="212">
        <f>SUM(W12:W16)</f>
        <v>40937.685855525233</v>
      </c>
      <c r="X11" s="215">
        <f t="shared" si="7"/>
        <v>163861.00611701616</v>
      </c>
      <c r="Y11" s="213" t="str">
        <f>M11</f>
        <v>2.</v>
      </c>
      <c r="Z11" s="214" t="str">
        <f t="shared" si="8"/>
        <v>Денежные средства, направленные:</v>
      </c>
      <c r="AA11" s="212">
        <f>SUM(AA12:AA16)</f>
        <v>40919.308739706023</v>
      </c>
      <c r="AB11" s="212">
        <f>SUM(AB12:AB16)</f>
        <v>40900.931623886812</v>
      </c>
      <c r="AC11" s="212">
        <f>SUM(AC12:AC16)</f>
        <v>40882.554508067602</v>
      </c>
      <c r="AD11" s="212">
        <f>SUM(AD12:AD16)</f>
        <v>40864.177392248399</v>
      </c>
      <c r="AE11" s="215">
        <f t="shared" si="9"/>
        <v>163566.97226390883</v>
      </c>
      <c r="AF11" s="212">
        <f>SUM(AF12:AF16)</f>
        <v>40845.800276429189</v>
      </c>
      <c r="AG11" s="212">
        <f>SUM(AG12:AG16)</f>
        <v>40827.423160609978</v>
      </c>
      <c r="AH11" s="212">
        <f>SUM(AH12:AH16)</f>
        <v>40809.046044790768</v>
      </c>
      <c r="AI11" s="212">
        <f>SUM(AI12:AI16)</f>
        <v>40790.668928971558</v>
      </c>
      <c r="AJ11" s="215">
        <f t="shared" si="10"/>
        <v>163272.93841080149</v>
      </c>
      <c r="AK11" s="213" t="str">
        <f>Y11</f>
        <v>2.</v>
      </c>
      <c r="AL11" s="214" t="str">
        <f t="shared" si="11"/>
        <v>Денежные средства, направленные:</v>
      </c>
      <c r="AM11" s="212">
        <f>SUM(AM12:AM16)</f>
        <v>40772.291813152347</v>
      </c>
      <c r="AN11" s="212">
        <f>SUM(AN12:AN16)</f>
        <v>40753.914697333137</v>
      </c>
      <c r="AO11" s="212">
        <f>SUM(AO12:AO16)</f>
        <v>40735.537581513927</v>
      </c>
      <c r="AP11" s="212">
        <f>SUM(AP12:AP16)</f>
        <v>40717.160465694717</v>
      </c>
      <c r="AQ11" s="215">
        <f t="shared" si="12"/>
        <v>162978.90455769413</v>
      </c>
      <c r="AR11" s="212">
        <f>SUM(AR12:AR16)</f>
        <v>40698.783349875506</v>
      </c>
      <c r="AS11" s="212">
        <f>SUM(AS12:AS16)</f>
        <v>40680.406234056296</v>
      </c>
      <c r="AT11" s="212">
        <f>SUM(AT12:AT16)</f>
        <v>40662.029118237093</v>
      </c>
      <c r="AU11" s="212">
        <f>SUM(AU12:AU16)</f>
        <v>40643.652002417883</v>
      </c>
      <c r="AV11" s="215">
        <f t="shared" si="13"/>
        <v>162684.87070458679</v>
      </c>
    </row>
    <row r="12" spans="1:48" ht="20.7" customHeight="1">
      <c r="A12" s="218"/>
      <c r="B12" s="217" t="s">
        <v>291</v>
      </c>
      <c r="C12" s="212">
        <f>'Т 6'!C6-'Т 4'!C13</f>
        <v>0</v>
      </c>
      <c r="D12" s="212">
        <f>'Т 6'!D6-'Т 4'!D13</f>
        <v>0</v>
      </c>
      <c r="E12" s="212">
        <f>'Т 6'!E6-'Т 4'!E13</f>
        <v>0</v>
      </c>
      <c r="F12" s="212">
        <f>'Т 6'!F6-'Т 4'!F13</f>
        <v>0</v>
      </c>
      <c r="G12" s="212">
        <f t="shared" si="3"/>
        <v>0</v>
      </c>
      <c r="H12" s="212">
        <f>'Т 6'!H6-'Т 4'!H13</f>
        <v>22866.480000000003</v>
      </c>
      <c r="I12" s="212">
        <f>'Т 6'!I6-'Т 4'!I13</f>
        <v>22866.480000000003</v>
      </c>
      <c r="J12" s="212">
        <f>'Т 6'!J6-'Т 4'!J13</f>
        <v>22866.480000000003</v>
      </c>
      <c r="K12" s="212">
        <f>'Т 6'!K6-'Т 4'!K13</f>
        <v>22866.480000000003</v>
      </c>
      <c r="L12" s="212">
        <f t="shared" si="4"/>
        <v>91465.920000000013</v>
      </c>
      <c r="M12" s="216"/>
      <c r="N12" s="217" t="str">
        <f t="shared" si="5"/>
        <v xml:space="preserve">   на оплату приобретенных товаров, работ, услуг, сырья и иных оборотных активов</v>
      </c>
      <c r="O12" s="212">
        <f>'Т 6'!O6-'Т 4'!O13</f>
        <v>22866.480000000003</v>
      </c>
      <c r="P12" s="212">
        <f>'Т 6'!P6-'Т 4'!P13</f>
        <v>22866.480000000003</v>
      </c>
      <c r="Q12" s="212">
        <f>'Т 6'!Q6-'Т 4'!Q13</f>
        <v>22866.480000000003</v>
      </c>
      <c r="R12" s="212">
        <f>'Т 6'!R6-'Т 4'!R13</f>
        <v>22866.480000000003</v>
      </c>
      <c r="S12" s="212">
        <f t="shared" si="6"/>
        <v>91465.920000000013</v>
      </c>
      <c r="T12" s="212">
        <f>'Т 6'!T6-'Т 4'!T13</f>
        <v>22866.480000000003</v>
      </c>
      <c r="U12" s="212">
        <f>'Т 6'!U6-'Т 4'!U13</f>
        <v>22866.480000000003</v>
      </c>
      <c r="V12" s="212">
        <f>'Т 6'!V6-'Т 4'!V13</f>
        <v>22866.480000000003</v>
      </c>
      <c r="W12" s="212">
        <f>'Т 6'!W6-'Т 4'!W13</f>
        <v>22866.480000000003</v>
      </c>
      <c r="X12" s="212">
        <f t="shared" si="7"/>
        <v>91465.920000000013</v>
      </c>
      <c r="Y12" s="216"/>
      <c r="Z12" s="217" t="str">
        <f t="shared" si="8"/>
        <v xml:space="preserve">   на оплату приобретенных товаров, работ, услуг, сырья и иных оборотных активов</v>
      </c>
      <c r="AA12" s="212">
        <f>'Т 6'!AA6-'Т 4'!AA13</f>
        <v>22866.480000000003</v>
      </c>
      <c r="AB12" s="212">
        <f>'Т 6'!AB6-'Т 4'!AB13</f>
        <v>22866.480000000003</v>
      </c>
      <c r="AC12" s="212">
        <f>'Т 6'!AC6-'Т 4'!AC13</f>
        <v>22866.480000000003</v>
      </c>
      <c r="AD12" s="212">
        <f>'Т 6'!AD6-'Т 4'!AD13</f>
        <v>22866.480000000003</v>
      </c>
      <c r="AE12" s="212">
        <f t="shared" si="9"/>
        <v>91465.920000000013</v>
      </c>
      <c r="AF12" s="212">
        <f>'Т 6'!AF6-'Т 4'!AF13</f>
        <v>22866.480000000003</v>
      </c>
      <c r="AG12" s="212">
        <f>'Т 6'!AG6-'Т 4'!AG13</f>
        <v>22866.480000000003</v>
      </c>
      <c r="AH12" s="212">
        <f>'Т 6'!AH6-'Т 4'!AH13</f>
        <v>22866.480000000003</v>
      </c>
      <c r="AI12" s="212">
        <f>'Т 6'!AI6-'Т 4'!AI13</f>
        <v>22866.480000000003</v>
      </c>
      <c r="AJ12" s="212">
        <f t="shared" si="10"/>
        <v>91465.920000000013</v>
      </c>
      <c r="AK12" s="216"/>
      <c r="AL12" s="217" t="str">
        <f t="shared" si="11"/>
        <v xml:space="preserve">   на оплату приобретенных товаров, работ, услуг, сырья и иных оборотных активов</v>
      </c>
      <c r="AM12" s="212">
        <f>'Т 6'!AM6-'Т 4'!AM13</f>
        <v>22866.480000000003</v>
      </c>
      <c r="AN12" s="212">
        <f>'Т 6'!AN6-'Т 4'!AN13</f>
        <v>22866.480000000003</v>
      </c>
      <c r="AO12" s="212">
        <f>'Т 6'!AO6-'Т 4'!AO13</f>
        <v>22866.480000000003</v>
      </c>
      <c r="AP12" s="212">
        <f>'Т 6'!AP6-'Т 4'!AP13</f>
        <v>22866.480000000003</v>
      </c>
      <c r="AQ12" s="212">
        <f t="shared" si="12"/>
        <v>91465.920000000013</v>
      </c>
      <c r="AR12" s="212">
        <f>'Т 6'!AR6-'Т 4'!AR13</f>
        <v>22866.480000000003</v>
      </c>
      <c r="AS12" s="212">
        <f>'Т 6'!AS6-'Т 4'!AS13</f>
        <v>22866.480000000003</v>
      </c>
      <c r="AT12" s="212">
        <f>'Т 6'!AT6-'Т 4'!AT13</f>
        <v>22866.480000000003</v>
      </c>
      <c r="AU12" s="212">
        <f>'Т 6'!AU6-'Т 4'!AU13</f>
        <v>22866.480000000003</v>
      </c>
      <c r="AV12" s="212">
        <f t="shared" si="13"/>
        <v>91465.920000000013</v>
      </c>
    </row>
    <row r="13" spans="1:48" ht="11.7" customHeight="1">
      <c r="A13" s="218"/>
      <c r="B13" s="217" t="s">
        <v>292</v>
      </c>
      <c r="C13" s="212">
        <f>'Т 4'!C11</f>
        <v>0</v>
      </c>
      <c r="D13" s="212">
        <f>'Т 4'!D11</f>
        <v>0</v>
      </c>
      <c r="E13" s="212">
        <f>'Т 4'!E11</f>
        <v>0</v>
      </c>
      <c r="F13" s="212">
        <f>'Т 4'!F11</f>
        <v>0</v>
      </c>
      <c r="G13" s="212">
        <v>0</v>
      </c>
      <c r="H13" s="212">
        <f>'Т 4'!H11</f>
        <v>5340</v>
      </c>
      <c r="I13" s="212">
        <f>'Т 4'!I11</f>
        <v>5340</v>
      </c>
      <c r="J13" s="212">
        <f>'Т 4'!J11</f>
        <v>5340</v>
      </c>
      <c r="K13" s="212">
        <f>'Т 4'!K11</f>
        <v>5340</v>
      </c>
      <c r="L13" s="212">
        <f t="shared" si="4"/>
        <v>21360</v>
      </c>
      <c r="M13" s="216"/>
      <c r="N13" s="217" t="str">
        <f t="shared" si="5"/>
        <v xml:space="preserve">   на оплату труда</v>
      </c>
      <c r="O13" s="212">
        <f>'Т 4'!O11</f>
        <v>5340</v>
      </c>
      <c r="P13" s="212">
        <f>'Т 4'!P11</f>
        <v>5340</v>
      </c>
      <c r="Q13" s="212">
        <f>'Т 4'!Q11</f>
        <v>5340</v>
      </c>
      <c r="R13" s="212">
        <f>'Т 4'!R11</f>
        <v>5340</v>
      </c>
      <c r="S13" s="212">
        <v>0</v>
      </c>
      <c r="T13" s="212">
        <f>'Т 4'!T11</f>
        <v>5340</v>
      </c>
      <c r="U13" s="212">
        <f>'Т 4'!U11</f>
        <v>5340</v>
      </c>
      <c r="V13" s="212">
        <f>'Т 4'!V11</f>
        <v>5340</v>
      </c>
      <c r="W13" s="212">
        <f>'Т 4'!W11</f>
        <v>5340</v>
      </c>
      <c r="X13" s="212">
        <f t="shared" si="7"/>
        <v>21360</v>
      </c>
      <c r="Y13" s="216"/>
      <c r="Z13" s="217" t="str">
        <f t="shared" si="8"/>
        <v xml:space="preserve">   на оплату труда</v>
      </c>
      <c r="AA13" s="212">
        <f>'Т 4'!AA11</f>
        <v>5340</v>
      </c>
      <c r="AB13" s="212">
        <f>'Т 4'!AB11</f>
        <v>5340</v>
      </c>
      <c r="AC13" s="212">
        <f>'Т 4'!AC11</f>
        <v>5340</v>
      </c>
      <c r="AD13" s="212">
        <f>'Т 4'!AD11</f>
        <v>5340</v>
      </c>
      <c r="AE13" s="212">
        <f t="shared" si="9"/>
        <v>21360</v>
      </c>
      <c r="AF13" s="212">
        <f>'Т 4'!AF11</f>
        <v>5340</v>
      </c>
      <c r="AG13" s="212">
        <f>'Т 4'!AG11</f>
        <v>5340</v>
      </c>
      <c r="AH13" s="212">
        <f>'Т 4'!AH11</f>
        <v>5340</v>
      </c>
      <c r="AI13" s="212">
        <f>'Т 4'!AI11</f>
        <v>5340</v>
      </c>
      <c r="AJ13" s="212">
        <f t="shared" si="10"/>
        <v>21360</v>
      </c>
      <c r="AK13" s="216"/>
      <c r="AL13" s="217" t="str">
        <f t="shared" si="11"/>
        <v xml:space="preserve">   на оплату труда</v>
      </c>
      <c r="AM13" s="212">
        <f>'Т 4'!AM11</f>
        <v>5340</v>
      </c>
      <c r="AN13" s="212">
        <f>'Т 4'!AN11</f>
        <v>5340</v>
      </c>
      <c r="AO13" s="212">
        <f>'Т 4'!AO11</f>
        <v>5340</v>
      </c>
      <c r="AP13" s="212">
        <f>'Т 4'!AP11</f>
        <v>5340</v>
      </c>
      <c r="AQ13" s="212">
        <f t="shared" si="12"/>
        <v>21360</v>
      </c>
      <c r="AR13" s="212">
        <f>'Т 4'!AR11</f>
        <v>5340</v>
      </c>
      <c r="AS13" s="212">
        <f>'Т 4'!AS11</f>
        <v>5340</v>
      </c>
      <c r="AT13" s="212">
        <f>'Т 4'!AT11</f>
        <v>5340</v>
      </c>
      <c r="AU13" s="212">
        <f>'Т 4'!AU11</f>
        <v>5340</v>
      </c>
      <c r="AV13" s="212">
        <f t="shared" si="13"/>
        <v>21360</v>
      </c>
    </row>
    <row r="14" spans="1:48" ht="11.7" customHeight="1">
      <c r="A14" s="218"/>
      <c r="B14" s="217" t="s">
        <v>293</v>
      </c>
      <c r="C14" s="220">
        <f>'Т 9'!C12</f>
        <v>0</v>
      </c>
      <c r="D14" s="220">
        <f>'Т 9'!D12</f>
        <v>0</v>
      </c>
      <c r="E14" s="220">
        <f>'Т 9'!E12</f>
        <v>0</v>
      </c>
      <c r="F14" s="220">
        <f>'Т 9'!F12</f>
        <v>0</v>
      </c>
      <c r="G14" s="212">
        <f>C14+D14+E14+F14</f>
        <v>0</v>
      </c>
      <c r="H14" s="220">
        <f>'Т 9'!H12</f>
        <v>0</v>
      </c>
      <c r="I14" s="220">
        <f>'Т 9'!I12</f>
        <v>0</v>
      </c>
      <c r="J14" s="220">
        <f>'Т 9'!J12</f>
        <v>0</v>
      </c>
      <c r="K14" s="220">
        <f>'Т 9'!K12</f>
        <v>0</v>
      </c>
      <c r="L14" s="212">
        <f t="shared" si="4"/>
        <v>0</v>
      </c>
      <c r="M14" s="216"/>
      <c r="N14" s="217" t="str">
        <f t="shared" si="5"/>
        <v xml:space="preserve">   на выплату процентов</v>
      </c>
      <c r="O14" s="220">
        <f>'Т 9'!O12</f>
        <v>0</v>
      </c>
      <c r="P14" s="220">
        <f>'Т 9'!P12</f>
        <v>0</v>
      </c>
      <c r="Q14" s="220">
        <f>'Т 9'!Q12</f>
        <v>0</v>
      </c>
      <c r="R14" s="220">
        <f>'Т 9'!R12</f>
        <v>0</v>
      </c>
      <c r="S14" s="212">
        <f>O14+P14+Q14+R14</f>
        <v>0</v>
      </c>
      <c r="T14" s="220">
        <f>'Т 9'!T12</f>
        <v>0</v>
      </c>
      <c r="U14" s="220">
        <f>'Т 9'!U12</f>
        <v>0</v>
      </c>
      <c r="V14" s="220">
        <f>'Т 9'!V12</f>
        <v>0</v>
      </c>
      <c r="W14" s="220">
        <f>'Т 9'!W12</f>
        <v>0</v>
      </c>
      <c r="X14" s="212">
        <f t="shared" si="7"/>
        <v>0</v>
      </c>
      <c r="Y14" s="216"/>
      <c r="Z14" s="217" t="str">
        <f t="shared" si="8"/>
        <v xml:space="preserve">   на выплату процентов</v>
      </c>
      <c r="AA14" s="220">
        <f>'Т 9'!AA12</f>
        <v>0</v>
      </c>
      <c r="AB14" s="220">
        <f>'Т 9'!AB12</f>
        <v>0</v>
      </c>
      <c r="AC14" s="220">
        <f>'Т 9'!AC12</f>
        <v>0</v>
      </c>
      <c r="AD14" s="220">
        <f>'Т 9'!AD12</f>
        <v>0</v>
      </c>
      <c r="AE14" s="212">
        <f t="shared" si="9"/>
        <v>0</v>
      </c>
      <c r="AF14" s="220">
        <f>'Т 9'!AF12</f>
        <v>0</v>
      </c>
      <c r="AG14" s="220">
        <f>'Т 9'!AG12</f>
        <v>0</v>
      </c>
      <c r="AH14" s="220">
        <f>'Т 9'!AH12</f>
        <v>0</v>
      </c>
      <c r="AI14" s="220">
        <f>'Т 9'!AI12</f>
        <v>0</v>
      </c>
      <c r="AJ14" s="212">
        <f t="shared" si="10"/>
        <v>0</v>
      </c>
      <c r="AK14" s="216"/>
      <c r="AL14" s="217" t="str">
        <f t="shared" si="11"/>
        <v xml:space="preserve">   на выплату процентов</v>
      </c>
      <c r="AM14" s="220">
        <f>'Т 9'!AM12</f>
        <v>0</v>
      </c>
      <c r="AN14" s="220">
        <f>'Т 9'!AN12</f>
        <v>0</v>
      </c>
      <c r="AO14" s="220">
        <f>'Т 9'!AO12</f>
        <v>0</v>
      </c>
      <c r="AP14" s="220">
        <f>'Т 9'!AP12</f>
        <v>0</v>
      </c>
      <c r="AQ14" s="212">
        <f t="shared" si="12"/>
        <v>0</v>
      </c>
      <c r="AR14" s="220">
        <f>'Т 9'!AR12</f>
        <v>0</v>
      </c>
      <c r="AS14" s="220">
        <f>'Т 9'!AS12</f>
        <v>0</v>
      </c>
      <c r="AT14" s="220">
        <f>'Т 9'!AT12</f>
        <v>0</v>
      </c>
      <c r="AU14" s="220">
        <f>'Т 9'!AU12</f>
        <v>0</v>
      </c>
      <c r="AV14" s="212">
        <f t="shared" si="13"/>
        <v>0</v>
      </c>
    </row>
    <row r="15" spans="1:48" ht="12.75" customHeight="1">
      <c r="A15" s="216"/>
      <c r="B15" s="217" t="s">
        <v>294</v>
      </c>
      <c r="C15" s="220">
        <v>0</v>
      </c>
      <c r="D15" s="220">
        <v>0</v>
      </c>
      <c r="E15" s="220">
        <v>0</v>
      </c>
      <c r="F15" s="220">
        <v>0</v>
      </c>
      <c r="G15" s="212">
        <f>C15+D15+E15+F15</f>
        <v>0</v>
      </c>
      <c r="H15" s="220">
        <f>'Т 8'!H17</f>
        <v>7852.8450811299426</v>
      </c>
      <c r="I15" s="220">
        <f>'Т 8'!I17</f>
        <v>7834.4679653107332</v>
      </c>
      <c r="J15" s="220">
        <f>'Т 8'!J17</f>
        <v>7816.0908494915238</v>
      </c>
      <c r="K15" s="220">
        <f>'Т 8'!K17</f>
        <v>7797.7137336723154</v>
      </c>
      <c r="L15" s="212">
        <f t="shared" si="4"/>
        <v>31301.117629604516</v>
      </c>
      <c r="M15" s="216"/>
      <c r="N15" s="217" t="str">
        <f t="shared" si="5"/>
        <v xml:space="preserve">   на расчеты по налогам и сборам</v>
      </c>
      <c r="O15" s="220">
        <f>'Т 8'!O17</f>
        <v>12171.199143943308</v>
      </c>
      <c r="P15" s="220">
        <f>'Т 8'!P17</f>
        <v>12152.822028124099</v>
      </c>
      <c r="Q15" s="220">
        <f>'Т 8'!Q17</f>
        <v>12134.444912304891</v>
      </c>
      <c r="R15" s="220">
        <f>'Т 8'!R17</f>
        <v>12116.06779648568</v>
      </c>
      <c r="S15" s="212">
        <f>O15+P15+Q15+R15</f>
        <v>48574.533880857976</v>
      </c>
      <c r="T15" s="220">
        <f>'Т 8'!T17</f>
        <v>12097.690680666472</v>
      </c>
      <c r="U15" s="220">
        <f>'Т 8'!U17</f>
        <v>12079.313564847263</v>
      </c>
      <c r="V15" s="220">
        <f>'Т 8'!V17</f>
        <v>12060.936449028053</v>
      </c>
      <c r="W15" s="220">
        <f>'Т 8'!W17</f>
        <v>12042.559333208845</v>
      </c>
      <c r="X15" s="212">
        <f t="shared" si="7"/>
        <v>48280.500027750633</v>
      </c>
      <c r="Y15" s="216"/>
      <c r="Z15" s="217" t="str">
        <f t="shared" si="8"/>
        <v xml:space="preserve">   на расчеты по налогам и сборам</v>
      </c>
      <c r="AA15" s="220">
        <f>'Т 8'!AA17</f>
        <v>12024.182217389636</v>
      </c>
      <c r="AB15" s="220">
        <f>'Т 8'!AB17</f>
        <v>12005.805101570426</v>
      </c>
      <c r="AC15" s="220">
        <f>'Т 8'!AC17</f>
        <v>11987.427985751216</v>
      </c>
      <c r="AD15" s="220">
        <f>'Т 8'!AD17</f>
        <v>11969.050869932009</v>
      </c>
      <c r="AE15" s="212">
        <f t="shared" si="9"/>
        <v>47986.466174643283</v>
      </c>
      <c r="AF15" s="220">
        <f>'Т 8'!AF17</f>
        <v>11950.673754112799</v>
      </c>
      <c r="AG15" s="220">
        <f>'Т 8'!AG17</f>
        <v>11932.296638293588</v>
      </c>
      <c r="AH15" s="220">
        <f>'Т 8'!AH17</f>
        <v>11913.91952247438</v>
      </c>
      <c r="AI15" s="220">
        <f>'Т 8'!AI17</f>
        <v>11895.542406655171</v>
      </c>
      <c r="AJ15" s="212">
        <f t="shared" si="10"/>
        <v>47692.43232153594</v>
      </c>
      <c r="AK15" s="216"/>
      <c r="AL15" s="217" t="str">
        <f t="shared" si="11"/>
        <v xml:space="preserve">   на расчеты по налогам и сборам</v>
      </c>
      <c r="AM15" s="220">
        <f>'Т 8'!AM17</f>
        <v>11877.165290835961</v>
      </c>
      <c r="AN15" s="220">
        <f>'Т 8'!AN17</f>
        <v>11858.788175016753</v>
      </c>
      <c r="AO15" s="220">
        <f>'Т 8'!AO17</f>
        <v>11840.411059197542</v>
      </c>
      <c r="AP15" s="220">
        <f>'Т 8'!AP17</f>
        <v>11822.033943378334</v>
      </c>
      <c r="AQ15" s="212">
        <f t="shared" si="12"/>
        <v>47398.398468428582</v>
      </c>
      <c r="AR15" s="220">
        <f>'Т 8'!AR17</f>
        <v>11803.656827559123</v>
      </c>
      <c r="AS15" s="220">
        <f>'Т 8'!AS17</f>
        <v>11785.279711739913</v>
      </c>
      <c r="AT15" s="220">
        <f>'Т 8'!AT17</f>
        <v>11766.902595920707</v>
      </c>
      <c r="AU15" s="220">
        <f>'Т 8'!AU17</f>
        <v>11748.525480101498</v>
      </c>
      <c r="AV15" s="212">
        <f t="shared" si="13"/>
        <v>47104.364615321239</v>
      </c>
    </row>
    <row r="16" spans="1:48" ht="11.7" customHeight="1">
      <c r="A16" s="216"/>
      <c r="B16" s="217" t="s">
        <v>295</v>
      </c>
      <c r="C16" s="212">
        <f>'Т 6'!C19+'Т 6'!C22+'Т 6'!C26+'Т 6'!C27</f>
        <v>0</v>
      </c>
      <c r="D16" s="212">
        <f>'Т 6'!D19+'Т 6'!D22+'Т 6'!D26+'Т 6'!D27</f>
        <v>0</v>
      </c>
      <c r="E16" s="212">
        <f>'Т 6'!E19+'Т 6'!E22+'Т 6'!E26+'Т 6'!E27</f>
        <v>0</v>
      </c>
      <c r="F16" s="212">
        <f>'Т 6'!F19+'Т 6'!F22+'Т 6'!F26+'Т 6'!F27</f>
        <v>0</v>
      </c>
      <c r="G16" s="212">
        <f>C16+D16+E16+F16</f>
        <v>0</v>
      </c>
      <c r="H16" s="212">
        <f>'Т 6'!H19+'Т 6'!H22+'Т 6'!H26+'Т 6'!H27</f>
        <v>688.64652231638422</v>
      </c>
      <c r="I16" s="212">
        <f>'Т 6'!I19+'Т 6'!I22+'Т 6'!I26+'Т 6'!I27</f>
        <v>688.64652231638422</v>
      </c>
      <c r="J16" s="212">
        <f>'Т 6'!J19+'Т 6'!J22+'Т 6'!J26+'Т 6'!J27</f>
        <v>688.64652231638422</v>
      </c>
      <c r="K16" s="212">
        <f>'Т 6'!K19+'Т 6'!K22+'Т 6'!K26+'Т 6'!K27</f>
        <v>688.64652231638422</v>
      </c>
      <c r="L16" s="212">
        <f t="shared" si="4"/>
        <v>2754.5860892655369</v>
      </c>
      <c r="M16" s="216"/>
      <c r="N16" s="217" t="str">
        <f t="shared" si="5"/>
        <v xml:space="preserve">   прочие расходы</v>
      </c>
      <c r="O16" s="212">
        <f>'Т 6'!O19+'Т 6'!O22+'Т 6'!O26+'Т 6'!O27</f>
        <v>688.64652231638422</v>
      </c>
      <c r="P16" s="212">
        <f>'Т 6'!P19+'Т 6'!P22+'Т 6'!P26+'Т 6'!P27</f>
        <v>688.64652231638422</v>
      </c>
      <c r="Q16" s="212">
        <f>'Т 6'!Q19+'Т 6'!Q22+'Т 6'!Q26+'Т 6'!Q27</f>
        <v>688.64652231638422</v>
      </c>
      <c r="R16" s="212">
        <f>'Т 6'!R19+'Т 6'!R22+'Т 6'!R26+'Т 6'!R27</f>
        <v>688.64652231638422</v>
      </c>
      <c r="S16" s="212">
        <f>O16+P16+Q16+R16</f>
        <v>2754.5860892655369</v>
      </c>
      <c r="T16" s="212">
        <f>'Т 6'!T19+'Т 6'!T22+'Т 6'!T26+'Т 6'!T27</f>
        <v>688.64652231638422</v>
      </c>
      <c r="U16" s="212">
        <f>'Т 6'!U19+'Т 6'!U22+'Т 6'!U26+'Т 6'!U27</f>
        <v>688.64652231638422</v>
      </c>
      <c r="V16" s="212">
        <f>'Т 6'!V19+'Т 6'!V22+'Т 6'!V26+'Т 6'!V27</f>
        <v>688.64652231638422</v>
      </c>
      <c r="W16" s="212">
        <f>'Т 6'!W19+'Т 6'!W22+'Т 6'!W26+'Т 6'!W27</f>
        <v>688.64652231638422</v>
      </c>
      <c r="X16" s="212">
        <f t="shared" si="7"/>
        <v>2754.5860892655369</v>
      </c>
      <c r="Y16" s="216"/>
      <c r="Z16" s="217" t="str">
        <f t="shared" si="8"/>
        <v xml:space="preserve">   прочие расходы</v>
      </c>
      <c r="AA16" s="212">
        <f>'Т 6'!AA19+'Т 6'!AA22+'Т 6'!AA26+'Т 6'!AA27</f>
        <v>688.64652231638422</v>
      </c>
      <c r="AB16" s="212">
        <f>'Т 6'!AB19+'Т 6'!AB22+'Т 6'!AB26+'Т 6'!AB27</f>
        <v>688.64652231638422</v>
      </c>
      <c r="AC16" s="212">
        <f>'Т 6'!AC19+'Т 6'!AC22+'Т 6'!AC26+'Т 6'!AC27</f>
        <v>688.64652231638422</v>
      </c>
      <c r="AD16" s="212">
        <f>'Т 6'!AD19+'Т 6'!AD22+'Т 6'!AD26+'Т 6'!AD27</f>
        <v>688.64652231638422</v>
      </c>
      <c r="AE16" s="212">
        <f t="shared" si="9"/>
        <v>2754.5860892655369</v>
      </c>
      <c r="AF16" s="212">
        <f>'Т 6'!AF19+'Т 6'!AF22+'Т 6'!AF26+'Т 6'!AF27</f>
        <v>688.64652231638422</v>
      </c>
      <c r="AG16" s="212">
        <f>'Т 6'!AG19+'Т 6'!AG22+'Т 6'!AG26+'Т 6'!AG27</f>
        <v>688.64652231638422</v>
      </c>
      <c r="AH16" s="212">
        <f>'Т 6'!AH19+'Т 6'!AH22+'Т 6'!AH26+'Т 6'!AH27</f>
        <v>688.64652231638422</v>
      </c>
      <c r="AI16" s="212">
        <f>'Т 6'!AI19+'Т 6'!AI22+'Т 6'!AI26+'Т 6'!AI27</f>
        <v>688.64652231638422</v>
      </c>
      <c r="AJ16" s="212">
        <f t="shared" si="10"/>
        <v>2754.5860892655369</v>
      </c>
      <c r="AK16" s="216"/>
      <c r="AL16" s="217" t="str">
        <f t="shared" si="11"/>
        <v xml:space="preserve">   прочие расходы</v>
      </c>
      <c r="AM16" s="212">
        <f>'Т 6'!AM19+'Т 6'!AM22+'Т 6'!AM26+'Т 6'!AM27</f>
        <v>688.64652231638422</v>
      </c>
      <c r="AN16" s="212">
        <f>'Т 6'!AN19+'Т 6'!AN22+'Т 6'!AN26+'Т 6'!AN27</f>
        <v>688.64652231638422</v>
      </c>
      <c r="AO16" s="212">
        <f>'Т 6'!AO19+'Т 6'!AO22+'Т 6'!AO26+'Т 6'!AO27</f>
        <v>688.64652231638422</v>
      </c>
      <c r="AP16" s="212">
        <f>'Т 6'!AP19+'Т 6'!AP22+'Т 6'!AP26+'Т 6'!AP27</f>
        <v>688.64652231638422</v>
      </c>
      <c r="AQ16" s="212">
        <f t="shared" si="12"/>
        <v>2754.5860892655369</v>
      </c>
      <c r="AR16" s="212">
        <f>'Т 6'!AR19+'Т 6'!AR22+'Т 6'!AR26+'Т 6'!AR27</f>
        <v>688.64652231638422</v>
      </c>
      <c r="AS16" s="212">
        <f>'Т 6'!AS19+'Т 6'!AS22+'Т 6'!AS26+'Т 6'!AS27</f>
        <v>688.64652231638422</v>
      </c>
      <c r="AT16" s="212">
        <f>'Т 6'!AT19+'Т 6'!AT22+'Т 6'!AT26+'Т 6'!AT27</f>
        <v>688.64652231638422</v>
      </c>
      <c r="AU16" s="212">
        <f>'Т 6'!AU19+'Т 6'!AU22+'Т 6'!AU26+'Т 6'!AU27</f>
        <v>688.64652231638422</v>
      </c>
      <c r="AV16" s="212">
        <f t="shared" si="13"/>
        <v>2754.5860892655369</v>
      </c>
    </row>
    <row r="17" spans="1:48" ht="25.5" customHeight="1">
      <c r="A17" s="213" t="s">
        <v>70</v>
      </c>
      <c r="B17" s="214" t="s">
        <v>296</v>
      </c>
      <c r="C17" s="212">
        <f>C7-C11</f>
        <v>0</v>
      </c>
      <c r="D17" s="212">
        <f>D7-D11</f>
        <v>0</v>
      </c>
      <c r="E17" s="212">
        <f>E7-E11</f>
        <v>0</v>
      </c>
      <c r="F17" s="212">
        <f>F7-F11</f>
        <v>0</v>
      </c>
      <c r="G17" s="215">
        <f>C17+D17+E17+F17</f>
        <v>0</v>
      </c>
      <c r="H17" s="212">
        <f>H7-H11</f>
        <v>30918.909752485873</v>
      </c>
      <c r="I17" s="212">
        <f>I7-I11</f>
        <v>30937.286868305084</v>
      </c>
      <c r="J17" s="212">
        <f>J7-J11</f>
        <v>39803.121611242925</v>
      </c>
      <c r="K17" s="212">
        <f>K7-K11</f>
        <v>39821.498727062135</v>
      </c>
      <c r="L17" s="215">
        <f t="shared" si="4"/>
        <v>141480.816959096</v>
      </c>
      <c r="M17" s="213" t="str">
        <f>A17</f>
        <v>3.</v>
      </c>
      <c r="N17" s="214" t="str">
        <f t="shared" si="5"/>
        <v>Чистые денежные средства от текущей деятельности (п.1-п.2)</v>
      </c>
      <c r="O17" s="212">
        <f>O7-O11</f>
        <v>18477.674333740302</v>
      </c>
      <c r="P17" s="212">
        <f>P7-P11</f>
        <v>18496.051449559513</v>
      </c>
      <c r="Q17" s="212">
        <f>Q7-Q11</f>
        <v>18514.428565378723</v>
      </c>
      <c r="R17" s="212">
        <f>R7-R11</f>
        <v>18532.805681197933</v>
      </c>
      <c r="S17" s="215">
        <f>O17+P17+Q17+R17</f>
        <v>74020.960029876471</v>
      </c>
      <c r="T17" s="212">
        <f>T7-T11</f>
        <v>18551.182797017143</v>
      </c>
      <c r="U17" s="212">
        <f>U7-U11</f>
        <v>18569.559912836354</v>
      </c>
      <c r="V17" s="212">
        <f>V7-V11</f>
        <v>18587.937028655564</v>
      </c>
      <c r="W17" s="212">
        <f>W7-W11</f>
        <v>18606.314144474767</v>
      </c>
      <c r="X17" s="215">
        <f t="shared" si="7"/>
        <v>74314.993882983836</v>
      </c>
      <c r="Y17" s="213" t="str">
        <f>M17</f>
        <v>3.</v>
      </c>
      <c r="Z17" s="214" t="str">
        <f t="shared" si="8"/>
        <v>Чистые денежные средства от текущей деятельности (п.1-п.2)</v>
      </c>
      <c r="AA17" s="212">
        <f>AA7-AA11</f>
        <v>18624.691260293977</v>
      </c>
      <c r="AB17" s="212">
        <f>AB7-AB11</f>
        <v>18643.068376113188</v>
      </c>
      <c r="AC17" s="212">
        <f>AC7-AC11</f>
        <v>18661.445491932398</v>
      </c>
      <c r="AD17" s="212">
        <f>AD7-AD11</f>
        <v>18679.822607751601</v>
      </c>
      <c r="AE17" s="215">
        <f t="shared" si="9"/>
        <v>74609.027736091171</v>
      </c>
      <c r="AF17" s="212">
        <f>AF7-AF11</f>
        <v>18698.199723570811</v>
      </c>
      <c r="AG17" s="212">
        <f>AG7-AG11</f>
        <v>18716.576839390022</v>
      </c>
      <c r="AH17" s="212">
        <f>AH7-AH11</f>
        <v>18734.953955209232</v>
      </c>
      <c r="AI17" s="212">
        <f>AI7-AI11</f>
        <v>18753.331071028442</v>
      </c>
      <c r="AJ17" s="215">
        <f t="shared" si="10"/>
        <v>74903.061589198507</v>
      </c>
      <c r="AK17" s="213" t="str">
        <f>Y17</f>
        <v>3.</v>
      </c>
      <c r="AL17" s="214" t="str">
        <f t="shared" si="11"/>
        <v>Чистые денежные средства от текущей деятельности (п.1-п.2)</v>
      </c>
      <c r="AM17" s="212">
        <f>AM7-AM11</f>
        <v>18771.708186847653</v>
      </c>
      <c r="AN17" s="212">
        <f>AN7-AN11</f>
        <v>18790.085302666863</v>
      </c>
      <c r="AO17" s="212">
        <f>AO7-AO11</f>
        <v>18808.462418486073</v>
      </c>
      <c r="AP17" s="212">
        <f>AP7-AP11</f>
        <v>18826.839534305283</v>
      </c>
      <c r="AQ17" s="215">
        <f t="shared" si="12"/>
        <v>75197.095442305872</v>
      </c>
      <c r="AR17" s="212">
        <f>AR7-AR11</f>
        <v>18845.216650124494</v>
      </c>
      <c r="AS17" s="212">
        <f>AS7-AS11</f>
        <v>18863.593765943704</v>
      </c>
      <c r="AT17" s="212">
        <f>AT7-AT11</f>
        <v>18881.970881762907</v>
      </c>
      <c r="AU17" s="212">
        <f>AU7-AU11</f>
        <v>18900.347997582117</v>
      </c>
      <c r="AV17" s="215">
        <f t="shared" si="13"/>
        <v>75491.129295413222</v>
      </c>
    </row>
    <row r="18" spans="1:48" ht="24.75" customHeight="1">
      <c r="A18" s="352" t="s">
        <v>297</v>
      </c>
      <c r="B18" s="353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348" t="str">
        <f>A18</f>
        <v>Движение денежных средств по инвестиционной деятельности</v>
      </c>
      <c r="N18" s="349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348" t="str">
        <f>M18</f>
        <v>Движение денежных средств по инвестиционной деятельности</v>
      </c>
      <c r="Z18" s="349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348" t="str">
        <f>Y18</f>
        <v>Движение денежных средств по инвестиционной деятельности</v>
      </c>
      <c r="AL18" s="349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</row>
    <row r="19" spans="1:48" ht="12.75" customHeight="1">
      <c r="A19" s="221" t="s">
        <v>72</v>
      </c>
      <c r="B19" s="214" t="s">
        <v>286</v>
      </c>
      <c r="C19" s="212">
        <f>SUM(C20:C23)</f>
        <v>53250</v>
      </c>
      <c r="D19" s="212">
        <f>SUM(D20:D23)</f>
        <v>53250</v>
      </c>
      <c r="E19" s="212">
        <f>SUM(E20:E23)</f>
        <v>111250</v>
      </c>
      <c r="F19" s="212">
        <f>SUM(F20:F23)</f>
        <v>111250</v>
      </c>
      <c r="G19" s="215">
        <f t="shared" ref="G19:G28" si="14">C19+D19+E19+F19</f>
        <v>329000</v>
      </c>
      <c r="H19" s="212">
        <f>SUM(H20:H23)</f>
        <v>0</v>
      </c>
      <c r="I19" s="212">
        <f>SUM(I20:I23)</f>
        <v>0</v>
      </c>
      <c r="J19" s="212">
        <f>SUM(J20:J23)</f>
        <v>0</v>
      </c>
      <c r="K19" s="212">
        <f>SUM(K20:K23)</f>
        <v>0</v>
      </c>
      <c r="L19" s="215">
        <f t="shared" ref="L19:L28" si="15">H19+I19+J19+K19</f>
        <v>0</v>
      </c>
      <c r="M19" s="213" t="str">
        <f>A19</f>
        <v>4.</v>
      </c>
      <c r="N19" s="214" t="str">
        <f t="shared" ref="N19:N27" si="16">B19</f>
        <v xml:space="preserve">Денежные средства, полученные:     </v>
      </c>
      <c r="O19" s="212">
        <f>SUM(O20:O23)</f>
        <v>0</v>
      </c>
      <c r="P19" s="212">
        <f>SUM(P20:P23)</f>
        <v>0</v>
      </c>
      <c r="Q19" s="212">
        <f>SUM(Q20:Q23)</f>
        <v>0</v>
      </c>
      <c r="R19" s="212">
        <f>SUM(R20:R23)</f>
        <v>0</v>
      </c>
      <c r="S19" s="215">
        <f t="shared" ref="S19:S28" si="17">O19+P19+Q19+R19</f>
        <v>0</v>
      </c>
      <c r="T19" s="212">
        <f>SUM(T20:T23)</f>
        <v>0</v>
      </c>
      <c r="U19" s="212">
        <f>SUM(U20:U23)</f>
        <v>0</v>
      </c>
      <c r="V19" s="212">
        <f>SUM(V20:V23)</f>
        <v>0</v>
      </c>
      <c r="W19" s="212">
        <f>SUM(W20:W23)</f>
        <v>0</v>
      </c>
      <c r="X19" s="215">
        <f t="shared" ref="X19:X28" si="18">T19+U19+V19+W19</f>
        <v>0</v>
      </c>
      <c r="Y19" s="213" t="str">
        <f>M19</f>
        <v>4.</v>
      </c>
      <c r="Z19" s="214" t="str">
        <f t="shared" ref="Z19:Z27" si="19">N19</f>
        <v xml:space="preserve">Денежные средства, полученные:     </v>
      </c>
      <c r="AA19" s="212">
        <f>SUM(AA20:AA23)</f>
        <v>0</v>
      </c>
      <c r="AB19" s="212">
        <f>SUM(AB20:AB23)</f>
        <v>0</v>
      </c>
      <c r="AC19" s="212">
        <f>SUM(AC20:AC23)</f>
        <v>0</v>
      </c>
      <c r="AD19" s="212">
        <f>SUM(AD20:AD23)</f>
        <v>0</v>
      </c>
      <c r="AE19" s="215">
        <f t="shared" ref="AE19:AE28" si="20">AA19+AB19+AC19+AD19</f>
        <v>0</v>
      </c>
      <c r="AF19" s="212">
        <f>SUM(AF20:AF23)</f>
        <v>0</v>
      </c>
      <c r="AG19" s="212">
        <f>SUM(AG20:AG23)</f>
        <v>0</v>
      </c>
      <c r="AH19" s="212">
        <f>SUM(AH20:AH23)</f>
        <v>0</v>
      </c>
      <c r="AI19" s="212">
        <f>SUM(AI20:AI23)</f>
        <v>0</v>
      </c>
      <c r="AJ19" s="215">
        <f>AF19+AG19+AH19+AI19</f>
        <v>0</v>
      </c>
      <c r="AK19" s="213" t="str">
        <f>Y19</f>
        <v>4.</v>
      </c>
      <c r="AL19" s="214" t="str">
        <f t="shared" ref="AL19:AL27" si="21">Z19</f>
        <v xml:space="preserve">Денежные средства, полученные:     </v>
      </c>
      <c r="AM19" s="212">
        <f>SUM(AM20:AM23)</f>
        <v>0</v>
      </c>
      <c r="AN19" s="212">
        <f>SUM(AN20:AN23)</f>
        <v>0</v>
      </c>
      <c r="AO19" s="212">
        <f>SUM(AO20:AO23)</f>
        <v>0</v>
      </c>
      <c r="AP19" s="212">
        <f>SUM(AP20:AP23)</f>
        <v>0</v>
      </c>
      <c r="AQ19" s="215">
        <f t="shared" ref="AQ19:AQ28" si="22">AM19+AN19+AO19+AP19</f>
        <v>0</v>
      </c>
      <c r="AR19" s="212">
        <f>SUM(AR20:AR23)</f>
        <v>0</v>
      </c>
      <c r="AS19" s="212">
        <f>SUM(AS20:AS23)</f>
        <v>0</v>
      </c>
      <c r="AT19" s="212">
        <f>SUM(AT20:AT23)</f>
        <v>0</v>
      </c>
      <c r="AU19" s="212">
        <f>SUM(AU20:AU23)</f>
        <v>0</v>
      </c>
      <c r="AV19" s="215">
        <f>AR19+AS19+AT19+AU19</f>
        <v>0</v>
      </c>
    </row>
    <row r="20" spans="1:48" ht="12.75" customHeight="1">
      <c r="A20" s="197"/>
      <c r="B20" s="222" t="s">
        <v>298</v>
      </c>
      <c r="C20" s="223">
        <f>'Т 2'!D7-'Т 2'!D12</f>
        <v>53250</v>
      </c>
      <c r="D20" s="223">
        <f>'Т 2'!E7-'Т 2'!E12</f>
        <v>53250</v>
      </c>
      <c r="E20" s="223">
        <f>'Т 2'!F7-'Т 2'!F12</f>
        <v>111250</v>
      </c>
      <c r="F20" s="223">
        <f>'Т 2'!G7-'Т 2'!G12</f>
        <v>111250</v>
      </c>
      <c r="G20" s="223">
        <f t="shared" si="14"/>
        <v>329000</v>
      </c>
      <c r="H20" s="223">
        <f>'Т 2'!I7-'Т 2'!I12</f>
        <v>0</v>
      </c>
      <c r="I20" s="223">
        <f>'Т 2'!J7-'Т 2'!J12</f>
        <v>0</v>
      </c>
      <c r="J20" s="223">
        <f>'Т 2'!K7-'Т 2'!K12</f>
        <v>0</v>
      </c>
      <c r="K20" s="223">
        <f>'Т 2'!L7-'Т 2'!L12</f>
        <v>0</v>
      </c>
      <c r="L20" s="223">
        <f t="shared" si="15"/>
        <v>0</v>
      </c>
      <c r="M20" s="224"/>
      <c r="N20" s="222" t="str">
        <f t="shared" si="16"/>
        <v xml:space="preserve">   собственные средства инвестора </v>
      </c>
      <c r="O20" s="223">
        <f>'Т 2'!P7-'Т 2'!P12</f>
        <v>0</v>
      </c>
      <c r="P20" s="223">
        <f>'Т 2'!Q7-'Т 2'!Q12</f>
        <v>0</v>
      </c>
      <c r="Q20" s="223">
        <f>'Т 2'!R7-'Т 2'!R12</f>
        <v>0</v>
      </c>
      <c r="R20" s="223">
        <f>'Т 2'!S7-'Т 2'!S12</f>
        <v>0</v>
      </c>
      <c r="S20" s="223">
        <f t="shared" si="17"/>
        <v>0</v>
      </c>
      <c r="T20" s="223">
        <f>'Т 2'!U7-'Т 2'!U12</f>
        <v>0</v>
      </c>
      <c r="U20" s="223">
        <f>'Т 2'!V7-'Т 2'!V12</f>
        <v>0</v>
      </c>
      <c r="V20" s="223">
        <f>'Т 2'!W7-'Т 2'!W12</f>
        <v>0</v>
      </c>
      <c r="W20" s="223">
        <f>'Т 2'!X7-'Т 2'!X12</f>
        <v>0</v>
      </c>
      <c r="X20" s="223">
        <f t="shared" si="18"/>
        <v>0</v>
      </c>
      <c r="Y20" s="224"/>
      <c r="Z20" s="222" t="str">
        <f t="shared" si="19"/>
        <v xml:space="preserve">   собственные средства инвестора </v>
      </c>
      <c r="AA20" s="223">
        <f>'Т 2'!AB7-'Т 2'!AB12</f>
        <v>0</v>
      </c>
      <c r="AB20" s="223">
        <f>'Т 2'!AC7-'Т 2'!AC12</f>
        <v>0</v>
      </c>
      <c r="AC20" s="223">
        <f>'Т 2'!AD7-'Т 2'!AD12</f>
        <v>0</v>
      </c>
      <c r="AD20" s="223">
        <f>'Т 2'!AE7-'Т 2'!AE12</f>
        <v>0</v>
      </c>
      <c r="AE20" s="223">
        <f t="shared" si="20"/>
        <v>0</v>
      </c>
      <c r="AF20" s="223">
        <f>'Т 2'!AG7-'Т 2'!AG12</f>
        <v>0</v>
      </c>
      <c r="AG20" s="223">
        <f>'Т 2'!AH7-'Т 2'!AH12</f>
        <v>0</v>
      </c>
      <c r="AH20" s="223">
        <f>'Т 2'!AI7-'Т 2'!AI12</f>
        <v>0</v>
      </c>
      <c r="AI20" s="223">
        <f>'Т 2'!AJ7-'Т 2'!AJ12</f>
        <v>0</v>
      </c>
      <c r="AJ20" s="223">
        <f>AF20+AG20+AH20+AI20</f>
        <v>0</v>
      </c>
      <c r="AK20" s="224"/>
      <c r="AL20" s="222" t="str">
        <f t="shared" si="21"/>
        <v xml:space="preserve">   собственные средства инвестора </v>
      </c>
      <c r="AM20" s="223">
        <f>'Т 2'!AN7-'Т 2'!AN12</f>
        <v>0</v>
      </c>
      <c r="AN20" s="223">
        <f>'Т 2'!AO7-'Т 2'!AO12</f>
        <v>0</v>
      </c>
      <c r="AO20" s="223">
        <f>'Т 2'!AP7-'Т 2'!AP12</f>
        <v>0</v>
      </c>
      <c r="AP20" s="223">
        <f>'Т 2'!AQ7-'Т 2'!AQ12</f>
        <v>0</v>
      </c>
      <c r="AQ20" s="223">
        <f t="shared" si="22"/>
        <v>0</v>
      </c>
      <c r="AR20" s="223">
        <f>'Т 2'!AS7-'Т 2'!AS12</f>
        <v>0</v>
      </c>
      <c r="AS20" s="223">
        <f>'Т 2'!AT7-'Т 2'!AT12</f>
        <v>0</v>
      </c>
      <c r="AT20" s="223">
        <f>'Т 2'!AU7-'Т 2'!AU12</f>
        <v>0</v>
      </c>
      <c r="AU20" s="223">
        <f>'Т 2'!AV7-'Т 2'!AV12</f>
        <v>0</v>
      </c>
      <c r="AV20" s="223">
        <f>AR20+AS20+AT20+AU20</f>
        <v>0</v>
      </c>
    </row>
    <row r="21" spans="1:48" ht="15" customHeight="1">
      <c r="A21" s="197"/>
      <c r="B21" s="222" t="s">
        <v>299</v>
      </c>
      <c r="C21" s="223">
        <f>'Т 2'!D12-'Т 2'!D15</f>
        <v>0</v>
      </c>
      <c r="D21" s="223">
        <f>'Т 2'!E12-'Т 2'!E15</f>
        <v>0</v>
      </c>
      <c r="E21" s="223">
        <f>'Т 2'!F12-'Т 2'!F15</f>
        <v>0</v>
      </c>
      <c r="F21" s="223">
        <f>'Т 2'!G12-'Т 2'!G15</f>
        <v>0</v>
      </c>
      <c r="G21" s="223">
        <f t="shared" si="14"/>
        <v>0</v>
      </c>
      <c r="H21" s="223">
        <f>'Т 2'!I12-'Т 2'!I15</f>
        <v>0</v>
      </c>
      <c r="I21" s="223">
        <f>'Т 2'!J12-'Т 2'!J15</f>
        <v>0</v>
      </c>
      <c r="J21" s="223">
        <f>'Т 2'!K12-'Т 2'!K15</f>
        <v>0</v>
      </c>
      <c r="K21" s="223">
        <f>'Т 2'!L12-'Т 2'!L15</f>
        <v>0</v>
      </c>
      <c r="L21" s="223">
        <f t="shared" si="15"/>
        <v>0</v>
      </c>
      <c r="M21" s="224"/>
      <c r="N21" s="222" t="str">
        <f t="shared" si="16"/>
        <v xml:space="preserve">   привлеченные средства</v>
      </c>
      <c r="O21" s="223">
        <f>'Т 2'!P12-'Т 2'!P15</f>
        <v>0</v>
      </c>
      <c r="P21" s="223">
        <f>'Т 2'!Q12-'Т 2'!Q15</f>
        <v>0</v>
      </c>
      <c r="Q21" s="223">
        <f>'Т 2'!R12-'Т 2'!R15</f>
        <v>0</v>
      </c>
      <c r="R21" s="223">
        <f>'Т 2'!S12-'Т 2'!S15</f>
        <v>0</v>
      </c>
      <c r="S21" s="223">
        <f t="shared" si="17"/>
        <v>0</v>
      </c>
      <c r="T21" s="223">
        <f>'Т 2'!U12-'Т 2'!U15</f>
        <v>0</v>
      </c>
      <c r="U21" s="223">
        <f>'Т 2'!V12-'Т 2'!V15</f>
        <v>0</v>
      </c>
      <c r="V21" s="223">
        <f>'Т 2'!W12-'Т 2'!W15</f>
        <v>0</v>
      </c>
      <c r="W21" s="223">
        <f>'Т 2'!X12-'Т 2'!X15</f>
        <v>0</v>
      </c>
      <c r="X21" s="223">
        <f t="shared" si="18"/>
        <v>0</v>
      </c>
      <c r="Y21" s="224"/>
      <c r="Z21" s="222" t="str">
        <f t="shared" si="19"/>
        <v xml:space="preserve">   привлеченные средства</v>
      </c>
      <c r="AA21" s="223">
        <f>'Т 2'!AB12-'Т 2'!AB15</f>
        <v>0</v>
      </c>
      <c r="AB21" s="223">
        <f>'Т 2'!AC12-'Т 2'!AC15</f>
        <v>0</v>
      </c>
      <c r="AC21" s="223">
        <f>'Т 2'!AD12-'Т 2'!AD15</f>
        <v>0</v>
      </c>
      <c r="AD21" s="223">
        <f>'Т 2'!AE12-'Т 2'!AE15</f>
        <v>0</v>
      </c>
      <c r="AE21" s="223">
        <f t="shared" si="20"/>
        <v>0</v>
      </c>
      <c r="AF21" s="223">
        <f>'Т 2'!AG12-'Т 2'!AG15</f>
        <v>0</v>
      </c>
      <c r="AG21" s="223">
        <f>'Т 2'!AH12-'Т 2'!AH15</f>
        <v>0</v>
      </c>
      <c r="AH21" s="223">
        <f>'Т 2'!AI12-'Т 2'!AI15</f>
        <v>0</v>
      </c>
      <c r="AI21" s="223">
        <f>'Т 2'!AJ12-'Т 2'!AJ15</f>
        <v>0</v>
      </c>
      <c r="AJ21" s="223">
        <f>AF21+AG21+AH21+AI21</f>
        <v>0</v>
      </c>
      <c r="AK21" s="224"/>
      <c r="AL21" s="222" t="str">
        <f t="shared" si="21"/>
        <v xml:space="preserve">   привлеченные средства</v>
      </c>
      <c r="AM21" s="223">
        <f>'Т 2'!AN12-'Т 2'!AN15</f>
        <v>0</v>
      </c>
      <c r="AN21" s="223">
        <f>'Т 2'!AO12-'Т 2'!AO15</f>
        <v>0</v>
      </c>
      <c r="AO21" s="223">
        <f>'Т 2'!AP12-'Т 2'!AP15</f>
        <v>0</v>
      </c>
      <c r="AP21" s="223">
        <f>'Т 2'!AQ12-'Т 2'!AQ15</f>
        <v>0</v>
      </c>
      <c r="AQ21" s="223">
        <f t="shared" si="22"/>
        <v>0</v>
      </c>
      <c r="AR21" s="223">
        <f>'Т 2'!AS12-'Т 2'!AS15</f>
        <v>0</v>
      </c>
      <c r="AS21" s="223">
        <f>'Т 2'!AT12-'Т 2'!AT15</f>
        <v>0</v>
      </c>
      <c r="AT21" s="223">
        <f>'Т 2'!AU12-'Т 2'!AU15</f>
        <v>0</v>
      </c>
      <c r="AU21" s="223">
        <f>'Т 2'!AV12-'Т 2'!AV15</f>
        <v>0</v>
      </c>
      <c r="AV21" s="223">
        <f>AR21+AS21+AT21+AU21</f>
        <v>0</v>
      </c>
    </row>
    <row r="22" spans="1:48" ht="15" customHeight="1">
      <c r="A22" s="197"/>
      <c r="B22" s="222" t="s">
        <v>288</v>
      </c>
      <c r="C22" s="223">
        <f>'Т 8'!C9</f>
        <v>0</v>
      </c>
      <c r="D22" s="223">
        <f>'Т 8'!D9</f>
        <v>0</v>
      </c>
      <c r="E22" s="223">
        <f>'Т 8'!E9</f>
        <v>0</v>
      </c>
      <c r="F22" s="223">
        <f>'Т 8'!F9</f>
        <v>0</v>
      </c>
      <c r="G22" s="223">
        <f t="shared" si="14"/>
        <v>0</v>
      </c>
      <c r="H22" s="223">
        <v>0</v>
      </c>
      <c r="I22" s="223">
        <v>0</v>
      </c>
      <c r="J22" s="223">
        <v>0</v>
      </c>
      <c r="K22" s="223">
        <v>0</v>
      </c>
      <c r="L22" s="223">
        <f t="shared" si="15"/>
        <v>0</v>
      </c>
      <c r="M22" s="224"/>
      <c r="N22" s="222" t="str">
        <f t="shared" si="16"/>
        <v xml:space="preserve">   НДС к возмещению</v>
      </c>
      <c r="O22" s="223">
        <f>'Т 8'!O9</f>
        <v>0</v>
      </c>
      <c r="P22" s="223">
        <f>'Т 8'!P9</f>
        <v>0</v>
      </c>
      <c r="Q22" s="223">
        <f>'Т 8'!Q9</f>
        <v>0</v>
      </c>
      <c r="R22" s="223">
        <f>'Т 8'!R9</f>
        <v>0</v>
      </c>
      <c r="S22" s="223">
        <f t="shared" si="17"/>
        <v>0</v>
      </c>
      <c r="T22" s="223">
        <f>'Т 8'!T9</f>
        <v>0</v>
      </c>
      <c r="U22" s="223">
        <f>'Т 8'!U9</f>
        <v>0</v>
      </c>
      <c r="V22" s="223">
        <f>'Т 8'!V9</f>
        <v>0</v>
      </c>
      <c r="W22" s="223">
        <f>'Т 8'!W9</f>
        <v>0</v>
      </c>
      <c r="X22" s="223">
        <f t="shared" si="18"/>
        <v>0</v>
      </c>
      <c r="Y22" s="224"/>
      <c r="Z22" s="222" t="str">
        <f t="shared" si="19"/>
        <v xml:space="preserve">   НДС к возмещению</v>
      </c>
      <c r="AA22" s="223">
        <f>'Т 8'!AA9</f>
        <v>0</v>
      </c>
      <c r="AB22" s="223">
        <f>'Т 8'!AB9</f>
        <v>0</v>
      </c>
      <c r="AC22" s="223">
        <f>'Т 8'!AC9</f>
        <v>0</v>
      </c>
      <c r="AD22" s="223">
        <f>'Т 8'!AD9</f>
        <v>0</v>
      </c>
      <c r="AE22" s="223">
        <f t="shared" si="20"/>
        <v>0</v>
      </c>
      <c r="AF22" s="223">
        <f>'Т 8'!AF9</f>
        <v>0</v>
      </c>
      <c r="AG22" s="223">
        <f>'Т 8'!AG9</f>
        <v>0</v>
      </c>
      <c r="AH22" s="223">
        <f>'Т 8'!AH9</f>
        <v>0</v>
      </c>
      <c r="AI22" s="223">
        <f>'Т 8'!AI9</f>
        <v>0</v>
      </c>
      <c r="AJ22" s="223"/>
      <c r="AK22" s="224"/>
      <c r="AL22" s="222" t="str">
        <f t="shared" si="21"/>
        <v xml:space="preserve">   НДС к возмещению</v>
      </c>
      <c r="AM22" s="223">
        <f>'Т 8'!AM9</f>
        <v>0</v>
      </c>
      <c r="AN22" s="223">
        <f>'Т 8'!AN9</f>
        <v>0</v>
      </c>
      <c r="AO22" s="223">
        <f>'Т 8'!AO9</f>
        <v>0</v>
      </c>
      <c r="AP22" s="223">
        <f>'Т 8'!AP9</f>
        <v>0</v>
      </c>
      <c r="AQ22" s="223">
        <f t="shared" si="22"/>
        <v>0</v>
      </c>
      <c r="AR22" s="223">
        <f>'Т 8'!AR9</f>
        <v>0</v>
      </c>
      <c r="AS22" s="223">
        <f>'Т 8'!AS9</f>
        <v>0</v>
      </c>
      <c r="AT22" s="223">
        <f>'Т 8'!AT9</f>
        <v>0</v>
      </c>
      <c r="AU22" s="223">
        <f>'Т 8'!AU9</f>
        <v>0</v>
      </c>
      <c r="AV22" s="223"/>
    </row>
    <row r="23" spans="1:48" ht="15" customHeight="1">
      <c r="A23" s="197"/>
      <c r="B23" s="222" t="s">
        <v>300</v>
      </c>
      <c r="C23" s="223">
        <f>'Т 2'!D11+'Т 2'!D15</f>
        <v>0</v>
      </c>
      <c r="D23" s="223">
        <f>'Т 2'!E11+'Т 2'!E15</f>
        <v>0</v>
      </c>
      <c r="E23" s="223">
        <f>'Т 2'!F11+'Т 2'!F15</f>
        <v>0</v>
      </c>
      <c r="F23" s="223">
        <f>'Т 2'!G11+'Т 2'!G15</f>
        <v>0</v>
      </c>
      <c r="G23" s="223">
        <f t="shared" si="14"/>
        <v>0</v>
      </c>
      <c r="H23" s="223">
        <f>'Т 2'!I11+'Т 2'!I15</f>
        <v>0</v>
      </c>
      <c r="I23" s="223">
        <f>'Т 2'!J11+'Т 2'!J15</f>
        <v>0</v>
      </c>
      <c r="J23" s="223">
        <f>'Т 2'!K11+'Т 2'!K15</f>
        <v>0</v>
      </c>
      <c r="K23" s="223">
        <f>'Т 2'!L11+'Т 2'!L15</f>
        <v>0</v>
      </c>
      <c r="L23" s="223">
        <f t="shared" si="15"/>
        <v>0</v>
      </c>
      <c r="M23" s="224"/>
      <c r="N23" s="222" t="str">
        <f t="shared" si="16"/>
        <v xml:space="preserve">   прочие поступления</v>
      </c>
      <c r="O23" s="223">
        <f>'Т 2'!P11+'Т 2'!P15</f>
        <v>0</v>
      </c>
      <c r="P23" s="223">
        <f>'Т 2'!Q11+'Т 2'!Q15</f>
        <v>0</v>
      </c>
      <c r="Q23" s="223">
        <f>'Т 2'!R11+'Т 2'!R15</f>
        <v>0</v>
      </c>
      <c r="R23" s="223">
        <f>'Т 2'!S11+'Т 2'!S15</f>
        <v>0</v>
      </c>
      <c r="S23" s="223">
        <f t="shared" si="17"/>
        <v>0</v>
      </c>
      <c r="T23" s="223">
        <f>'Т 2'!U11+'Т 2'!U15</f>
        <v>0</v>
      </c>
      <c r="U23" s="223">
        <f>'Т 2'!V11+'Т 2'!V15</f>
        <v>0</v>
      </c>
      <c r="V23" s="223">
        <f>'Т 2'!W11+'Т 2'!W15</f>
        <v>0</v>
      </c>
      <c r="W23" s="223">
        <f>'Т 2'!X11+'Т 2'!X15</f>
        <v>0</v>
      </c>
      <c r="X23" s="223">
        <f t="shared" si="18"/>
        <v>0</v>
      </c>
      <c r="Y23" s="224"/>
      <c r="Z23" s="222" t="str">
        <f t="shared" si="19"/>
        <v xml:space="preserve">   прочие поступления</v>
      </c>
      <c r="AA23" s="223">
        <f>'Т 2'!AB11+'Т 2'!AB15</f>
        <v>0</v>
      </c>
      <c r="AB23" s="223">
        <f>'Т 2'!AC11+'Т 2'!AC15</f>
        <v>0</v>
      </c>
      <c r="AC23" s="223">
        <f>'Т 2'!AD11+'Т 2'!AD15</f>
        <v>0</v>
      </c>
      <c r="AD23" s="223">
        <f>'Т 2'!AE11+'Т 2'!AE15</f>
        <v>0</v>
      </c>
      <c r="AE23" s="223">
        <f t="shared" si="20"/>
        <v>0</v>
      </c>
      <c r="AF23" s="223">
        <f>'Т 2'!AG11+'Т 2'!AG15</f>
        <v>0</v>
      </c>
      <c r="AG23" s="223">
        <f>'Т 2'!AH11+'Т 2'!AH15</f>
        <v>0</v>
      </c>
      <c r="AH23" s="223">
        <f>'Т 2'!AI11+'Т 2'!AI15</f>
        <v>0</v>
      </c>
      <c r="AI23" s="223">
        <f>'Т 2'!AJ11+'Т 2'!AJ15</f>
        <v>0</v>
      </c>
      <c r="AJ23" s="223">
        <f t="shared" ref="AJ23:AJ28" si="23">AF23+AG23+AH23+AI23</f>
        <v>0</v>
      </c>
      <c r="AK23" s="224"/>
      <c r="AL23" s="222" t="str">
        <f t="shared" si="21"/>
        <v xml:space="preserve">   прочие поступления</v>
      </c>
      <c r="AM23" s="223">
        <f>'Т 2'!AN11+'Т 2'!AN15</f>
        <v>0</v>
      </c>
      <c r="AN23" s="223">
        <f>'Т 2'!AO11+'Т 2'!AO15</f>
        <v>0</v>
      </c>
      <c r="AO23" s="223">
        <f>'Т 2'!AP11+'Т 2'!AP15</f>
        <v>0</v>
      </c>
      <c r="AP23" s="223">
        <f>'Т 2'!AQ11+'Т 2'!AQ15</f>
        <v>0</v>
      </c>
      <c r="AQ23" s="223">
        <f t="shared" si="22"/>
        <v>0</v>
      </c>
      <c r="AR23" s="223">
        <f>'Т 2'!AS11+'Т 2'!AS15</f>
        <v>0</v>
      </c>
      <c r="AS23" s="223">
        <f>'Т 2'!AT11+'Т 2'!AT15</f>
        <v>0</v>
      </c>
      <c r="AT23" s="223">
        <f>'Т 2'!AU11+'Т 2'!AU15</f>
        <v>0</v>
      </c>
      <c r="AU23" s="223">
        <f>'Т 2'!AV11+'Т 2'!AV15</f>
        <v>0</v>
      </c>
      <c r="AV23" s="223">
        <f t="shared" ref="AV23:AV28" si="24">AR23+AS23+AT23+AU23</f>
        <v>0</v>
      </c>
    </row>
    <row r="24" spans="1:48" ht="12" customHeight="1">
      <c r="A24" s="221" t="s">
        <v>74</v>
      </c>
      <c r="B24" s="214" t="s">
        <v>290</v>
      </c>
      <c r="C24" s="223">
        <f>SUM(C25:C26)</f>
        <v>53250</v>
      </c>
      <c r="D24" s="223">
        <f>SUM(D25:D26)</f>
        <v>53250</v>
      </c>
      <c r="E24" s="223">
        <f>SUM(E25:E26)</f>
        <v>111250</v>
      </c>
      <c r="F24" s="223">
        <f>SUM(F25:F26)</f>
        <v>111250</v>
      </c>
      <c r="G24" s="215">
        <f t="shared" si="14"/>
        <v>329000</v>
      </c>
      <c r="H24" s="223">
        <f>SUM(H25:H26)</f>
        <v>0</v>
      </c>
      <c r="I24" s="223">
        <f>SUM(I25:I26)</f>
        <v>0</v>
      </c>
      <c r="J24" s="223">
        <f>SUM(J25:J26)</f>
        <v>0</v>
      </c>
      <c r="K24" s="223">
        <f>SUM(K25:K26)</f>
        <v>0</v>
      </c>
      <c r="L24" s="215">
        <f t="shared" si="15"/>
        <v>0</v>
      </c>
      <c r="M24" s="213" t="str">
        <f>A24</f>
        <v>5.</v>
      </c>
      <c r="N24" s="214" t="str">
        <f t="shared" si="16"/>
        <v>Денежные средства, направленные:</v>
      </c>
      <c r="O24" s="223">
        <f>SUM(O25:O26)</f>
        <v>0</v>
      </c>
      <c r="P24" s="223">
        <f>SUM(P25:P26)</f>
        <v>0</v>
      </c>
      <c r="Q24" s="223">
        <f>SUM(Q25:Q26)</f>
        <v>0</v>
      </c>
      <c r="R24" s="223">
        <f>SUM(R25:R26)</f>
        <v>0</v>
      </c>
      <c r="S24" s="215">
        <f t="shared" si="17"/>
        <v>0</v>
      </c>
      <c r="T24" s="223">
        <f>SUM(T25:T26)</f>
        <v>0</v>
      </c>
      <c r="U24" s="223">
        <f>SUM(U25:U26)</f>
        <v>0</v>
      </c>
      <c r="V24" s="223">
        <f>SUM(V25:V26)</f>
        <v>0</v>
      </c>
      <c r="W24" s="223">
        <f>SUM(W25:W26)</f>
        <v>0</v>
      </c>
      <c r="X24" s="215">
        <f t="shared" si="18"/>
        <v>0</v>
      </c>
      <c r="Y24" s="213" t="str">
        <f>M24</f>
        <v>5.</v>
      </c>
      <c r="Z24" s="214" t="str">
        <f t="shared" si="19"/>
        <v>Денежные средства, направленные:</v>
      </c>
      <c r="AA24" s="223">
        <f>SUM(AA25:AA26)</f>
        <v>0</v>
      </c>
      <c r="AB24" s="223">
        <f>SUM(AB25:AB26)</f>
        <v>0</v>
      </c>
      <c r="AC24" s="223">
        <f>SUM(AC25:AC26)</f>
        <v>0</v>
      </c>
      <c r="AD24" s="223">
        <f>SUM(AD25:AD26)</f>
        <v>0</v>
      </c>
      <c r="AE24" s="215">
        <f t="shared" si="20"/>
        <v>0</v>
      </c>
      <c r="AF24" s="223">
        <f>SUM(AF25:AF26)</f>
        <v>0</v>
      </c>
      <c r="AG24" s="223">
        <f>SUM(AG25:AG26)</f>
        <v>0</v>
      </c>
      <c r="AH24" s="223">
        <f>SUM(AH25:AH26)</f>
        <v>0</v>
      </c>
      <c r="AI24" s="223">
        <f>SUM(AI25:AI26)</f>
        <v>0</v>
      </c>
      <c r="AJ24" s="215">
        <f t="shared" si="23"/>
        <v>0</v>
      </c>
      <c r="AK24" s="213" t="str">
        <f>Y24</f>
        <v>5.</v>
      </c>
      <c r="AL24" s="214" t="str">
        <f t="shared" si="21"/>
        <v>Денежные средства, направленные:</v>
      </c>
      <c r="AM24" s="223">
        <f>SUM(AM25:AM26)</f>
        <v>0</v>
      </c>
      <c r="AN24" s="223">
        <f>SUM(AN25:AN26)</f>
        <v>0</v>
      </c>
      <c r="AO24" s="223">
        <f>SUM(AO25:AO26)</f>
        <v>0</v>
      </c>
      <c r="AP24" s="223">
        <f>SUM(AP25:AP26)</f>
        <v>0</v>
      </c>
      <c r="AQ24" s="215">
        <f t="shared" si="22"/>
        <v>0</v>
      </c>
      <c r="AR24" s="223">
        <f>SUM(AR25:AR26)</f>
        <v>0</v>
      </c>
      <c r="AS24" s="223">
        <f>SUM(AS25:AS26)</f>
        <v>0</v>
      </c>
      <c r="AT24" s="223">
        <f>SUM(AT25:AT26)</f>
        <v>0</v>
      </c>
      <c r="AU24" s="223">
        <f>SUM(AU25:AU26)</f>
        <v>0</v>
      </c>
      <c r="AV24" s="215">
        <f t="shared" si="24"/>
        <v>0</v>
      </c>
    </row>
    <row r="25" spans="1:48" ht="20.7" customHeight="1">
      <c r="A25" s="197"/>
      <c r="B25" s="222" t="s">
        <v>301</v>
      </c>
      <c r="C25" s="223">
        <f>'Т 1'!D7</f>
        <v>53076.125</v>
      </c>
      <c r="D25" s="223">
        <f>'Т 1'!E7</f>
        <v>53076.125</v>
      </c>
      <c r="E25" s="223">
        <f>'Т 1'!F7</f>
        <v>108076.125</v>
      </c>
      <c r="F25" s="223">
        <f>'Т 1'!G7</f>
        <v>108076.125</v>
      </c>
      <c r="G25" s="223">
        <f t="shared" si="14"/>
        <v>322304.5</v>
      </c>
      <c r="H25" s="223">
        <f>'Т 1'!I7</f>
        <v>0</v>
      </c>
      <c r="I25" s="223">
        <f>'Т 1'!J7</f>
        <v>0</v>
      </c>
      <c r="J25" s="223">
        <f>'Т 1'!K7</f>
        <v>0</v>
      </c>
      <c r="K25" s="223">
        <f>'Т 1'!L7</f>
        <v>0</v>
      </c>
      <c r="L25" s="223">
        <f t="shared" si="15"/>
        <v>0</v>
      </c>
      <c r="M25" s="224"/>
      <c r="N25" s="222" t="str">
        <f t="shared" si="16"/>
        <v xml:space="preserve">   на инвестиционные затраты капитального характера</v>
      </c>
      <c r="O25" s="223">
        <f>'Т 1'!P7</f>
        <v>0</v>
      </c>
      <c r="P25" s="223">
        <f>'Т 1'!Q7</f>
        <v>0</v>
      </c>
      <c r="Q25" s="223">
        <f>'Т 1'!R7</f>
        <v>0</v>
      </c>
      <c r="R25" s="223">
        <f>'Т 1'!S7</f>
        <v>0</v>
      </c>
      <c r="S25" s="223">
        <f t="shared" si="17"/>
        <v>0</v>
      </c>
      <c r="T25" s="223">
        <f>'Т 1'!U7</f>
        <v>0</v>
      </c>
      <c r="U25" s="223">
        <f>'Т 1'!V7</f>
        <v>0</v>
      </c>
      <c r="V25" s="223">
        <f>'Т 1'!W7</f>
        <v>0</v>
      </c>
      <c r="W25" s="223">
        <f>'Т 1'!X7</f>
        <v>0</v>
      </c>
      <c r="X25" s="223">
        <f t="shared" si="18"/>
        <v>0</v>
      </c>
      <c r="Y25" s="224"/>
      <c r="Z25" s="222" t="str">
        <f t="shared" si="19"/>
        <v xml:space="preserve">   на инвестиционные затраты капитального характера</v>
      </c>
      <c r="AA25" s="223">
        <f>'Т 1'!AB7</f>
        <v>0</v>
      </c>
      <c r="AB25" s="223">
        <f>'Т 1'!AC7</f>
        <v>0</v>
      </c>
      <c r="AC25" s="223">
        <f>'Т 1'!AD7</f>
        <v>0</v>
      </c>
      <c r="AD25" s="223">
        <f>'Т 1'!AE7</f>
        <v>0</v>
      </c>
      <c r="AE25" s="223">
        <f t="shared" si="20"/>
        <v>0</v>
      </c>
      <c r="AF25" s="223">
        <f>'Т 1'!AG7</f>
        <v>0</v>
      </c>
      <c r="AG25" s="223">
        <f>'Т 1'!AH7</f>
        <v>0</v>
      </c>
      <c r="AH25" s="223">
        <f>'Т 1'!AI7</f>
        <v>0</v>
      </c>
      <c r="AI25" s="223">
        <f>'Т 1'!AJ7</f>
        <v>0</v>
      </c>
      <c r="AJ25" s="223">
        <f t="shared" si="23"/>
        <v>0</v>
      </c>
      <c r="AK25" s="224"/>
      <c r="AL25" s="222" t="str">
        <f t="shared" si="21"/>
        <v xml:space="preserve">   на инвестиционные затраты капитального характера</v>
      </c>
      <c r="AM25" s="223">
        <f>'Т 1'!AN7</f>
        <v>0</v>
      </c>
      <c r="AN25" s="223">
        <f>'Т 1'!AO7</f>
        <v>0</v>
      </c>
      <c r="AO25" s="223">
        <f>'Т 1'!AP7</f>
        <v>0</v>
      </c>
      <c r="AP25" s="223">
        <f>'Т 1'!AQ7</f>
        <v>0</v>
      </c>
      <c r="AQ25" s="223">
        <f t="shared" si="22"/>
        <v>0</v>
      </c>
      <c r="AR25" s="223">
        <f>'Т 1'!AS7</f>
        <v>0</v>
      </c>
      <c r="AS25" s="223">
        <f>'Т 1'!AT7</f>
        <v>0</v>
      </c>
      <c r="AT25" s="223">
        <f>'Т 1'!AU7</f>
        <v>0</v>
      </c>
      <c r="AU25" s="223">
        <f>'Т 1'!AV7</f>
        <v>0</v>
      </c>
      <c r="AV25" s="223">
        <f t="shared" si="24"/>
        <v>0</v>
      </c>
    </row>
    <row r="26" spans="1:48" ht="15" customHeight="1">
      <c r="A26" s="197"/>
      <c r="B26" s="222" t="s">
        <v>302</v>
      </c>
      <c r="C26" s="223">
        <f>'Т 1'!D12+'Т 1'!D13</f>
        <v>173.875</v>
      </c>
      <c r="D26" s="223">
        <f>'Т 1'!E12+'Т 1'!E13</f>
        <v>173.875</v>
      </c>
      <c r="E26" s="223">
        <f>'Т 1'!F12+'Т 1'!F13</f>
        <v>3173.875</v>
      </c>
      <c r="F26" s="223">
        <f>'Т 1'!G12+'Т 1'!G13</f>
        <v>3173.875</v>
      </c>
      <c r="G26" s="223">
        <f t="shared" si="14"/>
        <v>6695.5</v>
      </c>
      <c r="H26" s="223">
        <f>'Т 1'!I12+'Т 1'!I13</f>
        <v>0</v>
      </c>
      <c r="I26" s="223">
        <f>'Т 1'!J12+'Т 1'!J13</f>
        <v>0</v>
      </c>
      <c r="J26" s="223">
        <f>'Т 1'!K12+'Т 1'!K13</f>
        <v>0</v>
      </c>
      <c r="K26" s="223">
        <f>'Т 1'!L12+'Т 1'!L13</f>
        <v>0</v>
      </c>
      <c r="L26" s="223">
        <f t="shared" si="15"/>
        <v>0</v>
      </c>
      <c r="M26" s="224"/>
      <c r="N26" s="222" t="str">
        <f t="shared" si="16"/>
        <v xml:space="preserve">   другие инвестиции</v>
      </c>
      <c r="O26" s="223">
        <f>'Т 1'!P12+'Т 1'!P13</f>
        <v>0</v>
      </c>
      <c r="P26" s="223">
        <f>'Т 1'!Q12+'Т 1'!Q13</f>
        <v>0</v>
      </c>
      <c r="Q26" s="223">
        <f>'Т 1'!R12+'Т 1'!R13</f>
        <v>0</v>
      </c>
      <c r="R26" s="223">
        <f>'Т 1'!S12+'Т 1'!S13</f>
        <v>0</v>
      </c>
      <c r="S26" s="223">
        <f t="shared" si="17"/>
        <v>0</v>
      </c>
      <c r="T26" s="223">
        <f>'Т 1'!U12+'Т 1'!U13</f>
        <v>0</v>
      </c>
      <c r="U26" s="223">
        <f>'Т 1'!V12+'Т 1'!V13</f>
        <v>0</v>
      </c>
      <c r="V26" s="223">
        <f>'Т 1'!W12+'Т 1'!W13</f>
        <v>0</v>
      </c>
      <c r="W26" s="223">
        <f>'Т 1'!X12+'Т 1'!X13</f>
        <v>0</v>
      </c>
      <c r="X26" s="223">
        <f t="shared" si="18"/>
        <v>0</v>
      </c>
      <c r="Y26" s="224"/>
      <c r="Z26" s="222" t="str">
        <f t="shared" si="19"/>
        <v xml:space="preserve">   другие инвестиции</v>
      </c>
      <c r="AA26" s="223">
        <f>'Т 1'!AB12+'Т 1'!AB13</f>
        <v>0</v>
      </c>
      <c r="AB26" s="223">
        <f>'Т 1'!AC12+'Т 1'!AC13</f>
        <v>0</v>
      </c>
      <c r="AC26" s="223">
        <f>'Т 1'!AD12+'Т 1'!AD13</f>
        <v>0</v>
      </c>
      <c r="AD26" s="223">
        <f>'Т 1'!AE12+'Т 1'!AE13</f>
        <v>0</v>
      </c>
      <c r="AE26" s="223">
        <f t="shared" si="20"/>
        <v>0</v>
      </c>
      <c r="AF26" s="223">
        <f>'Т 1'!AG12+'Т 1'!AG13</f>
        <v>0</v>
      </c>
      <c r="AG26" s="223">
        <f>'Т 1'!AH12+'Т 1'!AH13</f>
        <v>0</v>
      </c>
      <c r="AH26" s="223">
        <f>'Т 1'!AI12+'Т 1'!AI13</f>
        <v>0</v>
      </c>
      <c r="AI26" s="223">
        <f>'Т 1'!AJ12+'Т 1'!AJ13</f>
        <v>0</v>
      </c>
      <c r="AJ26" s="223">
        <f t="shared" si="23"/>
        <v>0</v>
      </c>
      <c r="AK26" s="224"/>
      <c r="AL26" s="222" t="str">
        <f t="shared" si="21"/>
        <v xml:space="preserve">   другие инвестиции</v>
      </c>
      <c r="AM26" s="223">
        <f>'Т 1'!AN12+'Т 1'!AN13</f>
        <v>0</v>
      </c>
      <c r="AN26" s="223">
        <f>'Т 1'!AO12+'Т 1'!AO13</f>
        <v>0</v>
      </c>
      <c r="AO26" s="223">
        <f>'Т 1'!AP12+'Т 1'!AP13</f>
        <v>0</v>
      </c>
      <c r="AP26" s="223">
        <f>'Т 1'!AQ12+'Т 1'!AQ13</f>
        <v>0</v>
      </c>
      <c r="AQ26" s="223">
        <f t="shared" si="22"/>
        <v>0</v>
      </c>
      <c r="AR26" s="223">
        <f>'Т 1'!AS12+'Т 1'!AS13</f>
        <v>0</v>
      </c>
      <c r="AS26" s="223">
        <f>'Т 1'!AT12+'Т 1'!AT13</f>
        <v>0</v>
      </c>
      <c r="AT26" s="223">
        <f>'Т 1'!AU12+'Т 1'!AU13</f>
        <v>0</v>
      </c>
      <c r="AU26" s="223">
        <f>'Т 1'!AV12+'Т 1'!AV13</f>
        <v>0</v>
      </c>
      <c r="AV26" s="223">
        <f t="shared" si="24"/>
        <v>0</v>
      </c>
    </row>
    <row r="27" spans="1:48" ht="20.7" customHeight="1">
      <c r="A27" s="221" t="s">
        <v>182</v>
      </c>
      <c r="B27" s="214" t="s">
        <v>303</v>
      </c>
      <c r="C27" s="223">
        <f>C19-C24</f>
        <v>0</v>
      </c>
      <c r="D27" s="223">
        <f>D19-D24</f>
        <v>0</v>
      </c>
      <c r="E27" s="223">
        <f>E19-E24</f>
        <v>0</v>
      </c>
      <c r="F27" s="223">
        <f>F19-F24</f>
        <v>0</v>
      </c>
      <c r="G27" s="215">
        <f t="shared" si="14"/>
        <v>0</v>
      </c>
      <c r="H27" s="223">
        <f>H19-H24</f>
        <v>0</v>
      </c>
      <c r="I27" s="223">
        <f>I19-I24</f>
        <v>0</v>
      </c>
      <c r="J27" s="223">
        <f>J19-J24</f>
        <v>0</v>
      </c>
      <c r="K27" s="223">
        <f>K19-K24</f>
        <v>0</v>
      </c>
      <c r="L27" s="215">
        <f t="shared" si="15"/>
        <v>0</v>
      </c>
      <c r="M27" s="213" t="str">
        <f>A27</f>
        <v>6.</v>
      </c>
      <c r="N27" s="214" t="str">
        <f t="shared" si="16"/>
        <v>Чистые денежные средства от инвестиционной деятельности (п.4-п.5)</v>
      </c>
      <c r="O27" s="223">
        <f>O19-O24</f>
        <v>0</v>
      </c>
      <c r="P27" s="223">
        <f>P19-P24</f>
        <v>0</v>
      </c>
      <c r="Q27" s="223">
        <f>Q19-Q24</f>
        <v>0</v>
      </c>
      <c r="R27" s="223">
        <f>R19-R24</f>
        <v>0</v>
      </c>
      <c r="S27" s="215">
        <f t="shared" si="17"/>
        <v>0</v>
      </c>
      <c r="T27" s="223">
        <f>T19-T24</f>
        <v>0</v>
      </c>
      <c r="U27" s="223">
        <f>U19-U24</f>
        <v>0</v>
      </c>
      <c r="V27" s="223">
        <f>V19-V24</f>
        <v>0</v>
      </c>
      <c r="W27" s="223">
        <f>W19-W24</f>
        <v>0</v>
      </c>
      <c r="X27" s="215">
        <f t="shared" si="18"/>
        <v>0</v>
      </c>
      <c r="Y27" s="213" t="str">
        <f>M27</f>
        <v>6.</v>
      </c>
      <c r="Z27" s="214" t="str">
        <f t="shared" si="19"/>
        <v>Чистые денежные средства от инвестиционной деятельности (п.4-п.5)</v>
      </c>
      <c r="AA27" s="223">
        <f>AA19-AA24</f>
        <v>0</v>
      </c>
      <c r="AB27" s="223">
        <f>AB19-AB24</f>
        <v>0</v>
      </c>
      <c r="AC27" s="223">
        <f>AC19-AC24</f>
        <v>0</v>
      </c>
      <c r="AD27" s="223">
        <f>AD19-AD24</f>
        <v>0</v>
      </c>
      <c r="AE27" s="215">
        <f t="shared" si="20"/>
        <v>0</v>
      </c>
      <c r="AF27" s="223">
        <f>AF19-AF24</f>
        <v>0</v>
      </c>
      <c r="AG27" s="223">
        <f>AG19-AG24</f>
        <v>0</v>
      </c>
      <c r="AH27" s="223">
        <f>AH19-AH24</f>
        <v>0</v>
      </c>
      <c r="AI27" s="223">
        <f>AI19-AI24</f>
        <v>0</v>
      </c>
      <c r="AJ27" s="215">
        <f t="shared" si="23"/>
        <v>0</v>
      </c>
      <c r="AK27" s="213" t="str">
        <f>Y27</f>
        <v>6.</v>
      </c>
      <c r="AL27" s="214" t="str">
        <f t="shared" si="21"/>
        <v>Чистые денежные средства от инвестиционной деятельности (п.4-п.5)</v>
      </c>
      <c r="AM27" s="223">
        <f>AM19-AM24</f>
        <v>0</v>
      </c>
      <c r="AN27" s="223">
        <f>AN19-AN24</f>
        <v>0</v>
      </c>
      <c r="AO27" s="223">
        <f>AO19-AO24</f>
        <v>0</v>
      </c>
      <c r="AP27" s="223">
        <f>AP19-AP24</f>
        <v>0</v>
      </c>
      <c r="AQ27" s="215">
        <f t="shared" si="22"/>
        <v>0</v>
      </c>
      <c r="AR27" s="223">
        <f>AR19-AR24</f>
        <v>0</v>
      </c>
      <c r="AS27" s="223">
        <f>AS19-AS24</f>
        <v>0</v>
      </c>
      <c r="AT27" s="223">
        <f>AT19-AT24</f>
        <v>0</v>
      </c>
      <c r="AU27" s="223">
        <f>AU19-AU24</f>
        <v>0</v>
      </c>
      <c r="AV27" s="215">
        <f t="shared" si="24"/>
        <v>0</v>
      </c>
    </row>
    <row r="28" spans="1:48" ht="25.5" customHeight="1">
      <c r="A28" s="354" t="s">
        <v>304</v>
      </c>
      <c r="B28" s="355"/>
      <c r="C28" s="223">
        <f>C17+C27</f>
        <v>0</v>
      </c>
      <c r="D28" s="223">
        <f>D17+D27</f>
        <v>0</v>
      </c>
      <c r="E28" s="223">
        <f>E17+E27</f>
        <v>0</v>
      </c>
      <c r="F28" s="223">
        <f>F17+F27</f>
        <v>0</v>
      </c>
      <c r="G28" s="215">
        <f t="shared" si="14"/>
        <v>0</v>
      </c>
      <c r="H28" s="223">
        <f>H17+H27</f>
        <v>30918.909752485873</v>
      </c>
      <c r="I28" s="223">
        <f>I17+I27</f>
        <v>30937.286868305084</v>
      </c>
      <c r="J28" s="223">
        <f>J17+J27</f>
        <v>39803.121611242925</v>
      </c>
      <c r="K28" s="223">
        <f>K17+K27</f>
        <v>39821.498727062135</v>
      </c>
      <c r="L28" s="215">
        <f t="shared" si="15"/>
        <v>141480.816959096</v>
      </c>
      <c r="M28" s="350" t="str">
        <f>A28</f>
        <v>Поток от инвестиционной и текущей деятельности</v>
      </c>
      <c r="N28" s="351"/>
      <c r="O28" s="223">
        <f>O17+O27</f>
        <v>18477.674333740302</v>
      </c>
      <c r="P28" s="223">
        <f>P17+P27</f>
        <v>18496.051449559513</v>
      </c>
      <c r="Q28" s="223">
        <f>Q17+Q27</f>
        <v>18514.428565378723</v>
      </c>
      <c r="R28" s="223">
        <f>R17+R27</f>
        <v>18532.805681197933</v>
      </c>
      <c r="S28" s="215">
        <f t="shared" si="17"/>
        <v>74020.960029876471</v>
      </c>
      <c r="T28" s="223">
        <f>T17+T27</f>
        <v>18551.182797017143</v>
      </c>
      <c r="U28" s="223">
        <f>U17+U27</f>
        <v>18569.559912836354</v>
      </c>
      <c r="V28" s="223">
        <f>V17+V27</f>
        <v>18587.937028655564</v>
      </c>
      <c r="W28" s="223">
        <f>W17+W27</f>
        <v>18606.314144474767</v>
      </c>
      <c r="X28" s="215">
        <f t="shared" si="18"/>
        <v>74314.993882983836</v>
      </c>
      <c r="Y28" s="350" t="str">
        <f>M28</f>
        <v>Поток от инвестиционной и текущей деятельности</v>
      </c>
      <c r="Z28" s="351"/>
      <c r="AA28" s="223">
        <f>AA17+AA27</f>
        <v>18624.691260293977</v>
      </c>
      <c r="AB28" s="223">
        <f>AB17+AB27</f>
        <v>18643.068376113188</v>
      </c>
      <c r="AC28" s="223">
        <f>AC17+AC27</f>
        <v>18661.445491932398</v>
      </c>
      <c r="AD28" s="223">
        <f>AD17+AD27</f>
        <v>18679.822607751601</v>
      </c>
      <c r="AE28" s="215">
        <f t="shared" si="20"/>
        <v>74609.027736091171</v>
      </c>
      <c r="AF28" s="223">
        <f>AF17+AF27</f>
        <v>18698.199723570811</v>
      </c>
      <c r="AG28" s="223">
        <f>AG17+AG27</f>
        <v>18716.576839390022</v>
      </c>
      <c r="AH28" s="223">
        <f>AH17+AH27</f>
        <v>18734.953955209232</v>
      </c>
      <c r="AI28" s="223">
        <f>AI17+AI27</f>
        <v>18753.331071028442</v>
      </c>
      <c r="AJ28" s="215">
        <f t="shared" si="23"/>
        <v>74903.061589198507</v>
      </c>
      <c r="AK28" s="350" t="str">
        <f>Y28</f>
        <v>Поток от инвестиционной и текущей деятельности</v>
      </c>
      <c r="AL28" s="351"/>
      <c r="AM28" s="223">
        <f>AM17+AM27</f>
        <v>18771.708186847653</v>
      </c>
      <c r="AN28" s="223">
        <f>AN17+AN27</f>
        <v>18790.085302666863</v>
      </c>
      <c r="AO28" s="223">
        <f>AO17+AO27</f>
        <v>18808.462418486073</v>
      </c>
      <c r="AP28" s="223">
        <f>AP17+AP27</f>
        <v>18826.839534305283</v>
      </c>
      <c r="AQ28" s="215">
        <f t="shared" si="22"/>
        <v>75197.095442305872</v>
      </c>
      <c r="AR28" s="223">
        <f>AR17+AR27</f>
        <v>18845.216650124494</v>
      </c>
      <c r="AS28" s="223">
        <f>AS17+AS27</f>
        <v>18863.593765943704</v>
      </c>
      <c r="AT28" s="223">
        <f>AT17+AT27</f>
        <v>18881.970881762907</v>
      </c>
      <c r="AU28" s="223">
        <f>AU17+AU27</f>
        <v>18900.347997582117</v>
      </c>
      <c r="AV28" s="215">
        <f t="shared" si="24"/>
        <v>75491.129295413222</v>
      </c>
    </row>
    <row r="29" spans="1:48" ht="24.75" customHeight="1">
      <c r="A29" s="352" t="s">
        <v>305</v>
      </c>
      <c r="B29" s="35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348" t="str">
        <f>A29</f>
        <v>Движение денежных средств по финансовой деятельности</v>
      </c>
      <c r="N29" s="349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348" t="str">
        <f>M29</f>
        <v>Движение денежных средств по финансовой деятельности</v>
      </c>
      <c r="Z29" s="349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348" t="str">
        <f>Y29</f>
        <v>Движение денежных средств по финансовой деятельности</v>
      </c>
      <c r="AL29" s="349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</row>
    <row r="30" spans="1:48" ht="13.5" customHeight="1">
      <c r="A30" s="221" t="s">
        <v>187</v>
      </c>
      <c r="B30" s="214" t="s">
        <v>286</v>
      </c>
      <c r="C30" s="223">
        <f>SUM(C31:C33)</f>
        <v>53250</v>
      </c>
      <c r="D30" s="223">
        <f>SUM(D31:D33)</f>
        <v>53250</v>
      </c>
      <c r="E30" s="223">
        <f>SUM(E31:E33)</f>
        <v>111250</v>
      </c>
      <c r="F30" s="223">
        <f>SUM(F31:F33)</f>
        <v>111250</v>
      </c>
      <c r="G30" s="215">
        <f t="shared" ref="G30:G39" si="25">C30+D30+E30+F30</f>
        <v>329000</v>
      </c>
      <c r="H30" s="223">
        <f>SUM(H31:H33)</f>
        <v>0</v>
      </c>
      <c r="I30" s="223">
        <f>SUM(I31:I33)</f>
        <v>0</v>
      </c>
      <c r="J30" s="223">
        <f>SUM(J31:J33)</f>
        <v>0</v>
      </c>
      <c r="K30" s="223">
        <f>SUM(K31:K33)</f>
        <v>0</v>
      </c>
      <c r="L30" s="215">
        <f>H30+I30+J30+K30</f>
        <v>0</v>
      </c>
      <c r="M30" s="213" t="str">
        <f>A30</f>
        <v>7.</v>
      </c>
      <c r="N30" s="214" t="str">
        <f t="shared" ref="N30:N40" si="26">B30</f>
        <v xml:space="preserve">Денежные средства, полученные:     </v>
      </c>
      <c r="O30" s="223">
        <f>SUM(O31:O33)</f>
        <v>0</v>
      </c>
      <c r="P30" s="223">
        <f>SUM(P31:P33)</f>
        <v>0</v>
      </c>
      <c r="Q30" s="223">
        <f>SUM(Q31:Q33)</f>
        <v>0</v>
      </c>
      <c r="R30" s="223">
        <f>SUM(R31:R33)</f>
        <v>0</v>
      </c>
      <c r="S30" s="215">
        <f t="shared" ref="S30:S39" si="27">O30+P30+Q30+R30</f>
        <v>0</v>
      </c>
      <c r="T30" s="223">
        <f>SUM(T31:T33)</f>
        <v>0</v>
      </c>
      <c r="U30" s="223">
        <f>SUM(U31:U33)</f>
        <v>0</v>
      </c>
      <c r="V30" s="223">
        <f>SUM(V31:V33)</f>
        <v>0</v>
      </c>
      <c r="W30" s="223">
        <f>SUM(W31:W33)</f>
        <v>0</v>
      </c>
      <c r="X30" s="215">
        <f>T30+U30+V30+W30</f>
        <v>0</v>
      </c>
      <c r="Y30" s="213" t="str">
        <f>M30</f>
        <v>7.</v>
      </c>
      <c r="Z30" s="214" t="str">
        <f t="shared" ref="Z30:Z40" si="28">N30</f>
        <v xml:space="preserve">Денежные средства, полученные:     </v>
      </c>
      <c r="AA30" s="223">
        <f>SUM(AA31:AA33)</f>
        <v>0</v>
      </c>
      <c r="AB30" s="223">
        <f>SUM(AB31:AB33)</f>
        <v>0</v>
      </c>
      <c r="AC30" s="223">
        <f>SUM(AC31:AC33)</f>
        <v>0</v>
      </c>
      <c r="AD30" s="223">
        <f>SUM(AD31:AD33)</f>
        <v>0</v>
      </c>
      <c r="AE30" s="215">
        <f t="shared" ref="AE30:AE39" si="29">AA30+AB30+AC30+AD30</f>
        <v>0</v>
      </c>
      <c r="AF30" s="223">
        <f>SUM(AF31:AF33)</f>
        <v>0</v>
      </c>
      <c r="AG30" s="223">
        <f>SUM(AG31:AG33)</f>
        <v>0</v>
      </c>
      <c r="AH30" s="223">
        <f>SUM(AH31:AH33)</f>
        <v>0</v>
      </c>
      <c r="AI30" s="223">
        <f>SUM(AI31:AI33)</f>
        <v>0</v>
      </c>
      <c r="AJ30" s="215">
        <f>AF30+AG30+AH30+AI30</f>
        <v>0</v>
      </c>
      <c r="AK30" s="213" t="str">
        <f>Y30</f>
        <v>7.</v>
      </c>
      <c r="AL30" s="214" t="str">
        <f t="shared" ref="AL30:AL40" si="30">Z30</f>
        <v xml:space="preserve">Денежные средства, полученные:     </v>
      </c>
      <c r="AM30" s="223">
        <f>SUM(AM31:AM33)</f>
        <v>0</v>
      </c>
      <c r="AN30" s="223">
        <f>SUM(AN31:AN33)</f>
        <v>0</v>
      </c>
      <c r="AO30" s="223">
        <f>SUM(AO31:AO33)</f>
        <v>0</v>
      </c>
      <c r="AP30" s="223">
        <f>SUM(AP31:AP33)</f>
        <v>0</v>
      </c>
      <c r="AQ30" s="215">
        <f t="shared" ref="AQ30:AQ39" si="31">AM30+AN30+AO30+AP30</f>
        <v>0</v>
      </c>
      <c r="AR30" s="223">
        <f>SUM(AR31:AR33)</f>
        <v>0</v>
      </c>
      <c r="AS30" s="223">
        <f>SUM(AS31:AS33)</f>
        <v>0</v>
      </c>
      <c r="AT30" s="223">
        <f>SUM(AT31:AT33)</f>
        <v>0</v>
      </c>
      <c r="AU30" s="223">
        <f>SUM(AU31:AU33)</f>
        <v>0</v>
      </c>
      <c r="AV30" s="215">
        <f>AR30+AS30+AT30+AU30</f>
        <v>0</v>
      </c>
    </row>
    <row r="31" spans="1:48" ht="15" customHeight="1">
      <c r="A31" s="197"/>
      <c r="B31" s="222" t="s">
        <v>306</v>
      </c>
      <c r="C31" s="223">
        <f>'Т 2'!D8</f>
        <v>53250</v>
      </c>
      <c r="D31" s="223">
        <f>'Т 2'!E8</f>
        <v>53250</v>
      </c>
      <c r="E31" s="223">
        <f>'Т 2'!F8</f>
        <v>111250</v>
      </c>
      <c r="F31" s="223">
        <f>'Т 2'!G8</f>
        <v>111250</v>
      </c>
      <c r="G31" s="223">
        <f t="shared" si="25"/>
        <v>329000</v>
      </c>
      <c r="H31" s="223">
        <f>'Т 1'!I13</f>
        <v>0</v>
      </c>
      <c r="I31" s="223">
        <f>'Т 1'!J13</f>
        <v>0</v>
      </c>
      <c r="J31" s="223">
        <f>'Т 1'!K13</f>
        <v>0</v>
      </c>
      <c r="K31" s="223">
        <f>'Т 1'!L13</f>
        <v>0</v>
      </c>
      <c r="L31" s="223">
        <f>H31+I31+J31+K31</f>
        <v>0</v>
      </c>
      <c r="M31" s="224"/>
      <c r="N31" s="222" t="str">
        <f t="shared" si="26"/>
        <v xml:space="preserve">   из собственных средств</v>
      </c>
      <c r="O31" s="223">
        <f>'Т 1'!P13</f>
        <v>0</v>
      </c>
      <c r="P31" s="223">
        <f>'Т 1'!Q13</f>
        <v>0</v>
      </c>
      <c r="Q31" s="223">
        <f>'Т 1'!R13</f>
        <v>0</v>
      </c>
      <c r="R31" s="223">
        <f>'Т 1'!S13</f>
        <v>0</v>
      </c>
      <c r="S31" s="223">
        <f t="shared" si="27"/>
        <v>0</v>
      </c>
      <c r="T31" s="223">
        <f>'Т 1'!U13</f>
        <v>0</v>
      </c>
      <c r="U31" s="223">
        <f>'Т 1'!V13</f>
        <v>0</v>
      </c>
      <c r="V31" s="223">
        <f>'Т 1'!W13</f>
        <v>0</v>
      </c>
      <c r="W31" s="223">
        <f>'Т 1'!X13</f>
        <v>0</v>
      </c>
      <c r="X31" s="223">
        <f>T31+U31+V31+W31</f>
        <v>0</v>
      </c>
      <c r="Y31" s="224"/>
      <c r="Z31" s="222" t="str">
        <f t="shared" si="28"/>
        <v xml:space="preserve">   из собственных средств</v>
      </c>
      <c r="AA31" s="223">
        <f>'Т 1'!AB13</f>
        <v>0</v>
      </c>
      <c r="AB31" s="223">
        <f>'Т 1'!AC13</f>
        <v>0</v>
      </c>
      <c r="AC31" s="223">
        <f>'Т 1'!AD13</f>
        <v>0</v>
      </c>
      <c r="AD31" s="223">
        <f>'Т 1'!AE13</f>
        <v>0</v>
      </c>
      <c r="AE31" s="223">
        <f t="shared" si="29"/>
        <v>0</v>
      </c>
      <c r="AF31" s="223">
        <f>'Т 1'!AG13</f>
        <v>0</v>
      </c>
      <c r="AG31" s="223">
        <f>'Т 1'!AH13</f>
        <v>0</v>
      </c>
      <c r="AH31" s="223">
        <f>'Т 1'!AI13</f>
        <v>0</v>
      </c>
      <c r="AI31" s="223">
        <f>'Т 1'!AJ13</f>
        <v>0</v>
      </c>
      <c r="AJ31" s="223">
        <f>AF31+AG31+AH31+AI31</f>
        <v>0</v>
      </c>
      <c r="AK31" s="224"/>
      <c r="AL31" s="222" t="str">
        <f t="shared" si="30"/>
        <v xml:space="preserve">   из собственных средств</v>
      </c>
      <c r="AM31" s="223">
        <f>'Т 1'!AN13</f>
        <v>0</v>
      </c>
      <c r="AN31" s="223">
        <f>'Т 1'!AO13</f>
        <v>0</v>
      </c>
      <c r="AO31" s="223">
        <f>'Т 1'!AP13</f>
        <v>0</v>
      </c>
      <c r="AP31" s="223">
        <f>'Т 1'!AQ13</f>
        <v>0</v>
      </c>
      <c r="AQ31" s="223">
        <f t="shared" si="31"/>
        <v>0</v>
      </c>
      <c r="AR31" s="223">
        <f>'Т 1'!AS13</f>
        <v>0</v>
      </c>
      <c r="AS31" s="223">
        <f>'Т 1'!AT13</f>
        <v>0</v>
      </c>
      <c r="AT31" s="223">
        <f>'Т 1'!AU13</f>
        <v>0</v>
      </c>
      <c r="AU31" s="223">
        <f>'Т 1'!AV13</f>
        <v>0</v>
      </c>
      <c r="AV31" s="223">
        <f>AR31+AS31+AT31+AU31</f>
        <v>0</v>
      </c>
    </row>
    <row r="32" spans="1:48" ht="20.7" customHeight="1">
      <c r="A32" s="197"/>
      <c r="B32" s="222" t="s">
        <v>307</v>
      </c>
      <c r="C32" s="223">
        <f>'Т 2'!D14+'Т 2'!D15</f>
        <v>0</v>
      </c>
      <c r="D32" s="223">
        <f>'Т 2'!E14+'Т 2'!E15</f>
        <v>0</v>
      </c>
      <c r="E32" s="223">
        <f>'Т 2'!F14+'Т 2'!F15</f>
        <v>0</v>
      </c>
      <c r="F32" s="223">
        <f>'Т 2'!G14+'Т 2'!G15</f>
        <v>0</v>
      </c>
      <c r="G32" s="223">
        <f t="shared" si="25"/>
        <v>0</v>
      </c>
      <c r="H32" s="223">
        <f>'Т 2'!I14+'Т 2'!I15</f>
        <v>0</v>
      </c>
      <c r="I32" s="223">
        <f>'Т 2'!J14+'Т 2'!J15</f>
        <v>0</v>
      </c>
      <c r="J32" s="223">
        <f>'Т 2'!K14+'Т 2'!K15</f>
        <v>0</v>
      </c>
      <c r="K32" s="223">
        <f>'Т 2'!L14+'Т 2'!L15</f>
        <v>0</v>
      </c>
      <c r="L32" s="223">
        <f>H32+I32+J32+K32</f>
        <v>0</v>
      </c>
      <c r="M32" s="224"/>
      <c r="N32" s="222" t="str">
        <f t="shared" si="26"/>
        <v xml:space="preserve">   от займов, предоставленных другими организациями</v>
      </c>
      <c r="O32" s="223">
        <f>'Т 2'!P14+'Т 2'!P15</f>
        <v>0</v>
      </c>
      <c r="P32" s="223">
        <f>'Т 2'!Q14+'Т 2'!Q15</f>
        <v>0</v>
      </c>
      <c r="Q32" s="223">
        <f>'Т 2'!R14+'Т 2'!R15</f>
        <v>0</v>
      </c>
      <c r="R32" s="223">
        <f>'Т 2'!S14+'Т 2'!S15</f>
        <v>0</v>
      </c>
      <c r="S32" s="223">
        <f t="shared" si="27"/>
        <v>0</v>
      </c>
      <c r="T32" s="223">
        <f>'Т 2'!U14+'Т 2'!U15</f>
        <v>0</v>
      </c>
      <c r="U32" s="223">
        <f>'Т 2'!V14+'Т 2'!V15</f>
        <v>0</v>
      </c>
      <c r="V32" s="223">
        <f>'Т 2'!W14+'Т 2'!W15</f>
        <v>0</v>
      </c>
      <c r="W32" s="223">
        <f>'Т 2'!X14+'Т 2'!X15</f>
        <v>0</v>
      </c>
      <c r="X32" s="223">
        <f>T32+U32+V32+W32</f>
        <v>0</v>
      </c>
      <c r="Y32" s="224"/>
      <c r="Z32" s="222" t="str">
        <f t="shared" si="28"/>
        <v xml:space="preserve">   от займов, предоставленных другими организациями</v>
      </c>
      <c r="AA32" s="223">
        <f>'Т 2'!AB14+'Т 2'!AB15</f>
        <v>0</v>
      </c>
      <c r="AB32" s="223">
        <f>'Т 2'!AC14+'Т 2'!AC15</f>
        <v>0</v>
      </c>
      <c r="AC32" s="223">
        <f>'Т 2'!AD14+'Т 2'!AD15</f>
        <v>0</v>
      </c>
      <c r="AD32" s="223">
        <f>'Т 2'!AE14+'Т 2'!AE15</f>
        <v>0</v>
      </c>
      <c r="AE32" s="223">
        <f t="shared" si="29"/>
        <v>0</v>
      </c>
      <c r="AF32" s="223">
        <f>'Т 2'!AG14+'Т 2'!AG15</f>
        <v>0</v>
      </c>
      <c r="AG32" s="223">
        <f>'Т 2'!AH14+'Т 2'!AH15</f>
        <v>0</v>
      </c>
      <c r="AH32" s="223">
        <f>'Т 2'!AI14+'Т 2'!AI15</f>
        <v>0</v>
      </c>
      <c r="AI32" s="223">
        <f>'Т 2'!AJ14+'Т 2'!AJ15</f>
        <v>0</v>
      </c>
      <c r="AJ32" s="223">
        <f>AF32+AG32+AH32+AI32</f>
        <v>0</v>
      </c>
      <c r="AK32" s="224"/>
      <c r="AL32" s="222" t="str">
        <f t="shared" si="30"/>
        <v xml:space="preserve">   от займов, предоставленных другими организациями</v>
      </c>
      <c r="AM32" s="223">
        <f>'Т 2'!AN14+'Т 2'!AN15</f>
        <v>0</v>
      </c>
      <c r="AN32" s="223">
        <f>'Т 2'!AO14+'Т 2'!AO15</f>
        <v>0</v>
      </c>
      <c r="AO32" s="223">
        <f>'Т 2'!AP14+'Т 2'!AP15</f>
        <v>0</v>
      </c>
      <c r="AP32" s="223">
        <f>'Т 2'!AQ14+'Т 2'!AQ15</f>
        <v>0</v>
      </c>
      <c r="AQ32" s="223">
        <f t="shared" si="31"/>
        <v>0</v>
      </c>
      <c r="AR32" s="223">
        <f>'Т 2'!AS14+'Т 2'!AS15</f>
        <v>0</v>
      </c>
      <c r="AS32" s="223">
        <f>'Т 2'!AT14+'Т 2'!AT15</f>
        <v>0</v>
      </c>
      <c r="AT32" s="223">
        <f>'Т 2'!AU14+'Т 2'!AU15</f>
        <v>0</v>
      </c>
      <c r="AU32" s="223">
        <f>'Т 2'!AV14+'Т 2'!AV15</f>
        <v>0</v>
      </c>
      <c r="AV32" s="223">
        <f>AR32+AS32+AT32+AU32</f>
        <v>0</v>
      </c>
    </row>
    <row r="33" spans="1:48" ht="20.7" customHeight="1">
      <c r="A33" s="197"/>
      <c r="B33" s="222" t="s">
        <v>308</v>
      </c>
      <c r="C33" s="223">
        <f>'Т 2'!D13</f>
        <v>0</v>
      </c>
      <c r="D33" s="223">
        <f>'Т 2'!E13</f>
        <v>0</v>
      </c>
      <c r="E33" s="223">
        <f>'Т 2'!F13</f>
        <v>0</v>
      </c>
      <c r="F33" s="223">
        <f>'Т 2'!G13</f>
        <v>0</v>
      </c>
      <c r="G33" s="223">
        <f t="shared" si="25"/>
        <v>0</v>
      </c>
      <c r="H33" s="223">
        <f>'Т 2'!I13</f>
        <v>0</v>
      </c>
      <c r="I33" s="223">
        <f>'Т 2'!J13</f>
        <v>0</v>
      </c>
      <c r="J33" s="223">
        <f>'Т 2'!K13</f>
        <v>0</v>
      </c>
      <c r="K33" s="223">
        <f>'Т 2'!L13</f>
        <v>0</v>
      </c>
      <c r="L33" s="223">
        <f>H33+I33+J33+K33</f>
        <v>0</v>
      </c>
      <c r="M33" s="224"/>
      <c r="N33" s="222" t="str">
        <f t="shared" si="26"/>
        <v xml:space="preserve">   от кредитов, предоставленных коммерческими банками</v>
      </c>
      <c r="O33" s="223">
        <f>'Т 2'!P13</f>
        <v>0</v>
      </c>
      <c r="P33" s="223">
        <f>'Т 2'!Q13</f>
        <v>0</v>
      </c>
      <c r="Q33" s="223">
        <f>'Т 2'!R13</f>
        <v>0</v>
      </c>
      <c r="R33" s="223">
        <f>'Т 2'!S13</f>
        <v>0</v>
      </c>
      <c r="S33" s="223">
        <f t="shared" si="27"/>
        <v>0</v>
      </c>
      <c r="T33" s="223">
        <f>'Т 2'!U13</f>
        <v>0</v>
      </c>
      <c r="U33" s="223">
        <f>'Т 2'!V13</f>
        <v>0</v>
      </c>
      <c r="V33" s="223">
        <f>'Т 2'!W13</f>
        <v>0</v>
      </c>
      <c r="W33" s="223">
        <f>'Т 2'!X13</f>
        <v>0</v>
      </c>
      <c r="X33" s="223">
        <f>T33+U33+V33+W33</f>
        <v>0</v>
      </c>
      <c r="Y33" s="224"/>
      <c r="Z33" s="222" t="str">
        <f t="shared" si="28"/>
        <v xml:space="preserve">   от кредитов, предоставленных коммерческими банками</v>
      </c>
      <c r="AA33" s="223">
        <f>'Т 2'!AB13</f>
        <v>0</v>
      </c>
      <c r="AB33" s="223">
        <f>'Т 2'!AC13</f>
        <v>0</v>
      </c>
      <c r="AC33" s="223">
        <f>'Т 2'!AD13</f>
        <v>0</v>
      </c>
      <c r="AD33" s="223">
        <f>'Т 2'!AE13</f>
        <v>0</v>
      </c>
      <c r="AE33" s="223">
        <f t="shared" si="29"/>
        <v>0</v>
      </c>
      <c r="AF33" s="223">
        <f>'Т 2'!AG13</f>
        <v>0</v>
      </c>
      <c r="AG33" s="223">
        <f>'Т 2'!AH13</f>
        <v>0</v>
      </c>
      <c r="AH33" s="223">
        <f>'Т 2'!AI13</f>
        <v>0</v>
      </c>
      <c r="AI33" s="223">
        <f>'Т 2'!AJ13</f>
        <v>0</v>
      </c>
      <c r="AJ33" s="223">
        <f>AF33+AG33+AH33+AI33</f>
        <v>0</v>
      </c>
      <c r="AK33" s="224"/>
      <c r="AL33" s="222" t="str">
        <f t="shared" si="30"/>
        <v xml:space="preserve">   от кредитов, предоставленных коммерческими банками</v>
      </c>
      <c r="AM33" s="223">
        <f>'Т 2'!AN13</f>
        <v>0</v>
      </c>
      <c r="AN33" s="223">
        <f>'Т 2'!AO13</f>
        <v>0</v>
      </c>
      <c r="AO33" s="223">
        <f>'Т 2'!AP13</f>
        <v>0</v>
      </c>
      <c r="AP33" s="223">
        <f>'Т 2'!AQ13</f>
        <v>0</v>
      </c>
      <c r="AQ33" s="223">
        <f t="shared" si="31"/>
        <v>0</v>
      </c>
      <c r="AR33" s="223">
        <f>'Т 2'!AS13</f>
        <v>0</v>
      </c>
      <c r="AS33" s="223">
        <f>'Т 2'!AT13</f>
        <v>0</v>
      </c>
      <c r="AT33" s="223">
        <f>'Т 2'!AU13</f>
        <v>0</v>
      </c>
      <c r="AU33" s="223">
        <f>'Т 2'!AV13</f>
        <v>0</v>
      </c>
      <c r="AV33" s="223">
        <f>AR33+AS33+AT33+AU33</f>
        <v>0</v>
      </c>
    </row>
    <row r="34" spans="1:48" ht="12.75" customHeight="1">
      <c r="A34" s="221" t="s">
        <v>190</v>
      </c>
      <c r="B34" s="214" t="s">
        <v>290</v>
      </c>
      <c r="C34" s="223">
        <f>SUM(C35:C37)</f>
        <v>53250</v>
      </c>
      <c r="D34" s="223">
        <f>SUM(D35:D37)</f>
        <v>53250</v>
      </c>
      <c r="E34" s="223">
        <f>SUM(E35:E37)</f>
        <v>111250</v>
      </c>
      <c r="F34" s="223">
        <f>SUM(F35:F37)</f>
        <v>111250</v>
      </c>
      <c r="G34" s="215">
        <f t="shared" si="25"/>
        <v>329000</v>
      </c>
      <c r="H34" s="223">
        <f>SUM(H35:H37)</f>
        <v>0</v>
      </c>
      <c r="I34" s="223">
        <f>SUM(I35:I37)</f>
        <v>0</v>
      </c>
      <c r="J34" s="223">
        <f>SUM(J35:J37)</f>
        <v>0</v>
      </c>
      <c r="K34" s="223">
        <f>SUM(K35:K37)</f>
        <v>0</v>
      </c>
      <c r="L34" s="215">
        <f>H34+I34+J34+K34</f>
        <v>0</v>
      </c>
      <c r="M34" s="213" t="str">
        <f>A34</f>
        <v>8.</v>
      </c>
      <c r="N34" s="214" t="str">
        <f t="shared" si="26"/>
        <v>Денежные средства, направленные:</v>
      </c>
      <c r="O34" s="223">
        <f>SUM(O35:O37)</f>
        <v>0</v>
      </c>
      <c r="P34" s="223">
        <f>SUM(P35:P37)</f>
        <v>0</v>
      </c>
      <c r="Q34" s="223">
        <f>SUM(Q35:Q37)</f>
        <v>0</v>
      </c>
      <c r="R34" s="223">
        <f>SUM(R35:R37)</f>
        <v>0</v>
      </c>
      <c r="S34" s="215">
        <f t="shared" si="27"/>
        <v>0</v>
      </c>
      <c r="T34" s="223">
        <f>SUM(T35:T37)</f>
        <v>0</v>
      </c>
      <c r="U34" s="223">
        <f>SUM(U35:U37)</f>
        <v>0</v>
      </c>
      <c r="V34" s="223">
        <f>SUM(V35:V37)</f>
        <v>0</v>
      </c>
      <c r="W34" s="223">
        <f>SUM(W35:W37)</f>
        <v>0</v>
      </c>
      <c r="X34" s="215">
        <f>T34+U34+V34+W34</f>
        <v>0</v>
      </c>
      <c r="Y34" s="213" t="str">
        <f>M34</f>
        <v>8.</v>
      </c>
      <c r="Z34" s="214" t="str">
        <f t="shared" si="28"/>
        <v>Денежные средства, направленные:</v>
      </c>
      <c r="AA34" s="223">
        <f>SUM(AA35:AA37)</f>
        <v>0</v>
      </c>
      <c r="AB34" s="223">
        <f>SUM(AB35:AB37)</f>
        <v>0</v>
      </c>
      <c r="AC34" s="223">
        <f>SUM(AC35:AC37)</f>
        <v>0</v>
      </c>
      <c r="AD34" s="223">
        <f>SUM(AD35:AD37)</f>
        <v>0</v>
      </c>
      <c r="AE34" s="215">
        <f t="shared" si="29"/>
        <v>0</v>
      </c>
      <c r="AF34" s="223">
        <f>SUM(AF35:AF37)</f>
        <v>0</v>
      </c>
      <c r="AG34" s="223">
        <f>SUM(AG35:AG37)</f>
        <v>0</v>
      </c>
      <c r="AH34" s="223">
        <f>SUM(AH35:AH37)</f>
        <v>0</v>
      </c>
      <c r="AI34" s="223">
        <f>SUM(AI35:AI37)</f>
        <v>0</v>
      </c>
      <c r="AJ34" s="215">
        <f>AF34+AG34+AH34+AI34</f>
        <v>0</v>
      </c>
      <c r="AK34" s="213" t="str">
        <f>Y34</f>
        <v>8.</v>
      </c>
      <c r="AL34" s="214" t="str">
        <f t="shared" si="30"/>
        <v>Денежные средства, направленные:</v>
      </c>
      <c r="AM34" s="223">
        <f>SUM(AM35:AM37)</f>
        <v>0</v>
      </c>
      <c r="AN34" s="223">
        <f>SUM(AN35:AN37)</f>
        <v>0</v>
      </c>
      <c r="AO34" s="223">
        <f>SUM(AO35:AO37)</f>
        <v>0</v>
      </c>
      <c r="AP34" s="223">
        <f>SUM(AP35:AP37)</f>
        <v>0</v>
      </c>
      <c r="AQ34" s="215">
        <f t="shared" si="31"/>
        <v>0</v>
      </c>
      <c r="AR34" s="223">
        <f>SUM(AR35:AR37)</f>
        <v>0</v>
      </c>
      <c r="AS34" s="223">
        <f>SUM(AS35:AS37)</f>
        <v>0</v>
      </c>
      <c r="AT34" s="223">
        <f>SUM(AT35:AT37)</f>
        <v>0</v>
      </c>
      <c r="AU34" s="223">
        <f>SUM(AU35:AU37)</f>
        <v>0</v>
      </c>
      <c r="AV34" s="215">
        <f>AR34+AS34+AT34+AU34</f>
        <v>0</v>
      </c>
    </row>
    <row r="35" spans="1:48" ht="15" customHeight="1">
      <c r="A35" s="197"/>
      <c r="B35" s="222" t="s">
        <v>309</v>
      </c>
      <c r="C35" s="223">
        <v>0</v>
      </c>
      <c r="D35" s="223">
        <f t="shared" ref="D35:F36" si="32">C35</f>
        <v>0</v>
      </c>
      <c r="E35" s="223">
        <f t="shared" si="32"/>
        <v>0</v>
      </c>
      <c r="F35" s="223">
        <f t="shared" si="32"/>
        <v>0</v>
      </c>
      <c r="G35" s="223">
        <f t="shared" si="25"/>
        <v>0</v>
      </c>
      <c r="H35" s="223">
        <f t="shared" ref="H35:L36" si="33">F35</f>
        <v>0</v>
      </c>
      <c r="I35" s="223">
        <f t="shared" si="33"/>
        <v>0</v>
      </c>
      <c r="J35" s="223">
        <f t="shared" si="33"/>
        <v>0</v>
      </c>
      <c r="K35" s="223">
        <f t="shared" si="33"/>
        <v>0</v>
      </c>
      <c r="L35" s="223">
        <f t="shared" si="33"/>
        <v>0</v>
      </c>
      <c r="M35" s="224"/>
      <c r="N35" s="222" t="str">
        <f t="shared" si="26"/>
        <v xml:space="preserve">   на погашение кредитов (без процентов)                 </v>
      </c>
      <c r="O35" s="223">
        <v>0</v>
      </c>
      <c r="P35" s="223">
        <f t="shared" ref="P35:R37" si="34">O35</f>
        <v>0</v>
      </c>
      <c r="Q35" s="223">
        <f t="shared" si="34"/>
        <v>0</v>
      </c>
      <c r="R35" s="223">
        <f t="shared" si="34"/>
        <v>0</v>
      </c>
      <c r="S35" s="223">
        <f t="shared" si="27"/>
        <v>0</v>
      </c>
      <c r="T35" s="223">
        <f t="shared" ref="T35:X37" si="35">R35</f>
        <v>0</v>
      </c>
      <c r="U35" s="223">
        <f t="shared" si="35"/>
        <v>0</v>
      </c>
      <c r="V35" s="223">
        <f t="shared" si="35"/>
        <v>0</v>
      </c>
      <c r="W35" s="223">
        <f t="shared" si="35"/>
        <v>0</v>
      </c>
      <c r="X35" s="223">
        <f t="shared" si="35"/>
        <v>0</v>
      </c>
      <c r="Y35" s="224"/>
      <c r="Z35" s="222" t="str">
        <f t="shared" si="28"/>
        <v xml:space="preserve">   на погашение кредитов (без процентов)                 </v>
      </c>
      <c r="AA35" s="223">
        <v>0</v>
      </c>
      <c r="AB35" s="223">
        <f t="shared" ref="AB35:AD37" si="36">AA35</f>
        <v>0</v>
      </c>
      <c r="AC35" s="223">
        <f t="shared" si="36"/>
        <v>0</v>
      </c>
      <c r="AD35" s="223">
        <f t="shared" si="36"/>
        <v>0</v>
      </c>
      <c r="AE35" s="223">
        <f t="shared" si="29"/>
        <v>0</v>
      </c>
      <c r="AF35" s="223">
        <f t="shared" ref="AF35:AJ37" si="37">AD35</f>
        <v>0</v>
      </c>
      <c r="AG35" s="223">
        <f t="shared" si="37"/>
        <v>0</v>
      </c>
      <c r="AH35" s="223">
        <f t="shared" si="37"/>
        <v>0</v>
      </c>
      <c r="AI35" s="223">
        <f t="shared" si="37"/>
        <v>0</v>
      </c>
      <c r="AJ35" s="223">
        <f t="shared" si="37"/>
        <v>0</v>
      </c>
      <c r="AK35" s="224"/>
      <c r="AL35" s="222" t="str">
        <f t="shared" si="30"/>
        <v xml:space="preserve">   на погашение кредитов (без процентов)                 </v>
      </c>
      <c r="AM35" s="223">
        <v>0</v>
      </c>
      <c r="AN35" s="223">
        <f t="shared" ref="AN35:AP37" si="38">AM35</f>
        <v>0</v>
      </c>
      <c r="AO35" s="223">
        <f t="shared" si="38"/>
        <v>0</v>
      </c>
      <c r="AP35" s="223">
        <f t="shared" si="38"/>
        <v>0</v>
      </c>
      <c r="AQ35" s="223">
        <f t="shared" si="31"/>
        <v>0</v>
      </c>
      <c r="AR35" s="223">
        <f t="shared" ref="AR35:AV37" si="39">AP35</f>
        <v>0</v>
      </c>
      <c r="AS35" s="223">
        <f t="shared" si="39"/>
        <v>0</v>
      </c>
      <c r="AT35" s="223">
        <f t="shared" si="39"/>
        <v>0</v>
      </c>
      <c r="AU35" s="223">
        <f t="shared" si="39"/>
        <v>0</v>
      </c>
      <c r="AV35" s="223">
        <f t="shared" si="39"/>
        <v>0</v>
      </c>
    </row>
    <row r="36" spans="1:48" ht="12.75" customHeight="1">
      <c r="A36" s="197"/>
      <c r="B36" s="222" t="s">
        <v>310</v>
      </c>
      <c r="C36" s="223">
        <v>0</v>
      </c>
      <c r="D36" s="223">
        <f t="shared" si="32"/>
        <v>0</v>
      </c>
      <c r="E36" s="223">
        <f t="shared" si="32"/>
        <v>0</v>
      </c>
      <c r="F36" s="223">
        <f t="shared" si="32"/>
        <v>0</v>
      </c>
      <c r="G36" s="223">
        <f t="shared" si="25"/>
        <v>0</v>
      </c>
      <c r="H36" s="223">
        <f t="shared" si="33"/>
        <v>0</v>
      </c>
      <c r="I36" s="223">
        <f t="shared" si="33"/>
        <v>0</v>
      </c>
      <c r="J36" s="223">
        <f t="shared" si="33"/>
        <v>0</v>
      </c>
      <c r="K36" s="223">
        <f t="shared" si="33"/>
        <v>0</v>
      </c>
      <c r="L36" s="223">
        <f t="shared" si="33"/>
        <v>0</v>
      </c>
      <c r="M36" s="224"/>
      <c r="N36" s="222" t="str">
        <f t="shared" si="26"/>
        <v xml:space="preserve">   на погашение займов (без процентов)                 </v>
      </c>
      <c r="O36" s="223">
        <v>0</v>
      </c>
      <c r="P36" s="223">
        <f t="shared" si="34"/>
        <v>0</v>
      </c>
      <c r="Q36" s="223">
        <f t="shared" si="34"/>
        <v>0</v>
      </c>
      <c r="R36" s="223">
        <f t="shared" si="34"/>
        <v>0</v>
      </c>
      <c r="S36" s="223">
        <f t="shared" si="27"/>
        <v>0</v>
      </c>
      <c r="T36" s="223">
        <f t="shared" si="35"/>
        <v>0</v>
      </c>
      <c r="U36" s="223">
        <f t="shared" si="35"/>
        <v>0</v>
      </c>
      <c r="V36" s="223">
        <f t="shared" si="35"/>
        <v>0</v>
      </c>
      <c r="W36" s="223">
        <f t="shared" si="35"/>
        <v>0</v>
      </c>
      <c r="X36" s="223">
        <f t="shared" si="35"/>
        <v>0</v>
      </c>
      <c r="Y36" s="224"/>
      <c r="Z36" s="222" t="str">
        <f t="shared" si="28"/>
        <v xml:space="preserve">   на погашение займов (без процентов)                 </v>
      </c>
      <c r="AA36" s="223">
        <v>0</v>
      </c>
      <c r="AB36" s="223">
        <f t="shared" si="36"/>
        <v>0</v>
      </c>
      <c r="AC36" s="223">
        <f t="shared" si="36"/>
        <v>0</v>
      </c>
      <c r="AD36" s="223">
        <f t="shared" si="36"/>
        <v>0</v>
      </c>
      <c r="AE36" s="223">
        <f t="shared" si="29"/>
        <v>0</v>
      </c>
      <c r="AF36" s="223">
        <f t="shared" si="37"/>
        <v>0</v>
      </c>
      <c r="AG36" s="223">
        <f t="shared" si="37"/>
        <v>0</v>
      </c>
      <c r="AH36" s="223">
        <f t="shared" si="37"/>
        <v>0</v>
      </c>
      <c r="AI36" s="223">
        <f t="shared" si="37"/>
        <v>0</v>
      </c>
      <c r="AJ36" s="223">
        <f t="shared" si="37"/>
        <v>0</v>
      </c>
      <c r="AK36" s="224"/>
      <c r="AL36" s="222" t="str">
        <f t="shared" si="30"/>
        <v xml:space="preserve">   на погашение займов (без процентов)                 </v>
      </c>
      <c r="AM36" s="223">
        <v>0</v>
      </c>
      <c r="AN36" s="223">
        <f t="shared" si="38"/>
        <v>0</v>
      </c>
      <c r="AO36" s="223">
        <f t="shared" si="38"/>
        <v>0</v>
      </c>
      <c r="AP36" s="223">
        <f t="shared" si="38"/>
        <v>0</v>
      </c>
      <c r="AQ36" s="223">
        <f t="shared" si="31"/>
        <v>0</v>
      </c>
      <c r="AR36" s="223">
        <f t="shared" si="39"/>
        <v>0</v>
      </c>
      <c r="AS36" s="223">
        <f t="shared" si="39"/>
        <v>0</v>
      </c>
      <c r="AT36" s="223">
        <f t="shared" si="39"/>
        <v>0</v>
      </c>
      <c r="AU36" s="223">
        <f t="shared" si="39"/>
        <v>0</v>
      </c>
      <c r="AV36" s="223">
        <f t="shared" si="39"/>
        <v>0</v>
      </c>
    </row>
    <row r="37" spans="1:48" ht="15" customHeight="1">
      <c r="A37" s="197"/>
      <c r="B37" s="222" t="s">
        <v>311</v>
      </c>
      <c r="C37" s="223">
        <f>'Т 1'!D14</f>
        <v>53250</v>
      </c>
      <c r="D37" s="223">
        <f>'Т 1'!E14</f>
        <v>53250</v>
      </c>
      <c r="E37" s="223">
        <f>'Т 1'!F14</f>
        <v>111250</v>
      </c>
      <c r="F37" s="223">
        <f>'Т 1'!G14</f>
        <v>111250</v>
      </c>
      <c r="G37" s="223">
        <f t="shared" si="25"/>
        <v>329000</v>
      </c>
      <c r="H37" s="223">
        <v>0</v>
      </c>
      <c r="I37" s="223">
        <v>0</v>
      </c>
      <c r="J37" s="223">
        <v>0</v>
      </c>
      <c r="K37" s="223">
        <v>0</v>
      </c>
      <c r="L37" s="223">
        <f>J37</f>
        <v>0</v>
      </c>
      <c r="M37" s="224"/>
      <c r="N37" s="222" t="str">
        <f t="shared" si="26"/>
        <v xml:space="preserve">   на прочие выплаты</v>
      </c>
      <c r="O37" s="223">
        <v>0</v>
      </c>
      <c r="P37" s="223">
        <f t="shared" si="34"/>
        <v>0</v>
      </c>
      <c r="Q37" s="223">
        <f t="shared" si="34"/>
        <v>0</v>
      </c>
      <c r="R37" s="223">
        <f t="shared" si="34"/>
        <v>0</v>
      </c>
      <c r="S37" s="223">
        <f t="shared" si="27"/>
        <v>0</v>
      </c>
      <c r="T37" s="223">
        <f t="shared" si="35"/>
        <v>0</v>
      </c>
      <c r="U37" s="223">
        <f t="shared" si="35"/>
        <v>0</v>
      </c>
      <c r="V37" s="223">
        <f t="shared" si="35"/>
        <v>0</v>
      </c>
      <c r="W37" s="223">
        <f t="shared" si="35"/>
        <v>0</v>
      </c>
      <c r="X37" s="223">
        <f t="shared" si="35"/>
        <v>0</v>
      </c>
      <c r="Y37" s="224"/>
      <c r="Z37" s="222" t="str">
        <f t="shared" si="28"/>
        <v xml:space="preserve">   на прочие выплаты</v>
      </c>
      <c r="AA37" s="223">
        <v>0</v>
      </c>
      <c r="AB37" s="223">
        <f t="shared" si="36"/>
        <v>0</v>
      </c>
      <c r="AC37" s="223">
        <f t="shared" si="36"/>
        <v>0</v>
      </c>
      <c r="AD37" s="223">
        <f t="shared" si="36"/>
        <v>0</v>
      </c>
      <c r="AE37" s="223">
        <f t="shared" si="29"/>
        <v>0</v>
      </c>
      <c r="AF37" s="223">
        <f t="shared" si="37"/>
        <v>0</v>
      </c>
      <c r="AG37" s="223">
        <f t="shared" si="37"/>
        <v>0</v>
      </c>
      <c r="AH37" s="223">
        <f t="shared" si="37"/>
        <v>0</v>
      </c>
      <c r="AI37" s="223">
        <f t="shared" si="37"/>
        <v>0</v>
      </c>
      <c r="AJ37" s="223">
        <f t="shared" si="37"/>
        <v>0</v>
      </c>
      <c r="AK37" s="224"/>
      <c r="AL37" s="222" t="str">
        <f t="shared" si="30"/>
        <v xml:space="preserve">   на прочие выплаты</v>
      </c>
      <c r="AM37" s="223">
        <v>0</v>
      </c>
      <c r="AN37" s="223">
        <f t="shared" si="38"/>
        <v>0</v>
      </c>
      <c r="AO37" s="223">
        <f t="shared" si="38"/>
        <v>0</v>
      </c>
      <c r="AP37" s="223">
        <f t="shared" si="38"/>
        <v>0</v>
      </c>
      <c r="AQ37" s="223">
        <f t="shared" si="31"/>
        <v>0</v>
      </c>
      <c r="AR37" s="223">
        <f t="shared" si="39"/>
        <v>0</v>
      </c>
      <c r="AS37" s="223">
        <f t="shared" si="39"/>
        <v>0</v>
      </c>
      <c r="AT37" s="223">
        <f t="shared" si="39"/>
        <v>0</v>
      </c>
      <c r="AU37" s="223">
        <f t="shared" si="39"/>
        <v>0</v>
      </c>
      <c r="AV37" s="223">
        <f t="shared" si="39"/>
        <v>0</v>
      </c>
    </row>
    <row r="38" spans="1:48" ht="26.25" customHeight="1">
      <c r="A38" s="221" t="s">
        <v>193</v>
      </c>
      <c r="B38" s="214" t="s">
        <v>312</v>
      </c>
      <c r="C38" s="223">
        <f>C30-C34</f>
        <v>0</v>
      </c>
      <c r="D38" s="223">
        <f>D30-D34</f>
        <v>0</v>
      </c>
      <c r="E38" s="223">
        <f>E30-E34</f>
        <v>0</v>
      </c>
      <c r="F38" s="223">
        <f>F30-F34</f>
        <v>0</v>
      </c>
      <c r="G38" s="215">
        <f t="shared" si="25"/>
        <v>0</v>
      </c>
      <c r="H38" s="223">
        <f>H30-H34</f>
        <v>0</v>
      </c>
      <c r="I38" s="223">
        <f>I30-I34</f>
        <v>0</v>
      </c>
      <c r="J38" s="223">
        <f>J30-J34</f>
        <v>0</v>
      </c>
      <c r="K38" s="223">
        <f>K30-K34</f>
        <v>0</v>
      </c>
      <c r="L38" s="215">
        <f>H38+I38+J38+K38</f>
        <v>0</v>
      </c>
      <c r="M38" s="213" t="str">
        <f>A38</f>
        <v>9.</v>
      </c>
      <c r="N38" s="214" t="str">
        <f t="shared" si="26"/>
        <v>Чистые денежные средства от финансовой деятельности (п.7-п.8)</v>
      </c>
      <c r="O38" s="223">
        <f>O30-O34</f>
        <v>0</v>
      </c>
      <c r="P38" s="223">
        <f>P30-P34</f>
        <v>0</v>
      </c>
      <c r="Q38" s="223">
        <f>Q30-Q34</f>
        <v>0</v>
      </c>
      <c r="R38" s="223">
        <f>R30-R34</f>
        <v>0</v>
      </c>
      <c r="S38" s="215">
        <f t="shared" si="27"/>
        <v>0</v>
      </c>
      <c r="T38" s="223">
        <f>T30-T34</f>
        <v>0</v>
      </c>
      <c r="U38" s="223">
        <f>U30-U34</f>
        <v>0</v>
      </c>
      <c r="V38" s="223">
        <f>V30-V34</f>
        <v>0</v>
      </c>
      <c r="W38" s="223">
        <f>W30-W34</f>
        <v>0</v>
      </c>
      <c r="X38" s="215">
        <f>T38+U38+V38+W38</f>
        <v>0</v>
      </c>
      <c r="Y38" s="213" t="str">
        <f>M38</f>
        <v>9.</v>
      </c>
      <c r="Z38" s="214" t="str">
        <f t="shared" si="28"/>
        <v>Чистые денежные средства от финансовой деятельности (п.7-п.8)</v>
      </c>
      <c r="AA38" s="223">
        <f>AA30-AA34</f>
        <v>0</v>
      </c>
      <c r="AB38" s="223">
        <f>AB30-AB34</f>
        <v>0</v>
      </c>
      <c r="AC38" s="223">
        <f>AC30-AC34</f>
        <v>0</v>
      </c>
      <c r="AD38" s="223">
        <f>AD30-AD34</f>
        <v>0</v>
      </c>
      <c r="AE38" s="215">
        <f t="shared" si="29"/>
        <v>0</v>
      </c>
      <c r="AF38" s="223">
        <f>AF30-AF34</f>
        <v>0</v>
      </c>
      <c r="AG38" s="223">
        <f>AG30-AG34</f>
        <v>0</v>
      </c>
      <c r="AH38" s="223">
        <f>AH30-AH34</f>
        <v>0</v>
      </c>
      <c r="AI38" s="223">
        <f>AI30-AI34</f>
        <v>0</v>
      </c>
      <c r="AJ38" s="215">
        <f>AF38+AG38+AH38+AI38</f>
        <v>0</v>
      </c>
      <c r="AK38" s="213" t="str">
        <f>Y38</f>
        <v>9.</v>
      </c>
      <c r="AL38" s="214" t="str">
        <f t="shared" si="30"/>
        <v>Чистые денежные средства от финансовой деятельности (п.7-п.8)</v>
      </c>
      <c r="AM38" s="223">
        <f>AM30-AM34</f>
        <v>0</v>
      </c>
      <c r="AN38" s="223">
        <f>AN30-AN34</f>
        <v>0</v>
      </c>
      <c r="AO38" s="223">
        <f>AO30-AO34</f>
        <v>0</v>
      </c>
      <c r="AP38" s="223">
        <f>AP30-AP34</f>
        <v>0</v>
      </c>
      <c r="AQ38" s="215">
        <f t="shared" si="31"/>
        <v>0</v>
      </c>
      <c r="AR38" s="223">
        <f>AR30-AR34</f>
        <v>0</v>
      </c>
      <c r="AS38" s="223">
        <f>AS30-AS34</f>
        <v>0</v>
      </c>
      <c r="AT38" s="223">
        <f>AT30-AT34</f>
        <v>0</v>
      </c>
      <c r="AU38" s="223">
        <f>AU30-AU34</f>
        <v>0</v>
      </c>
      <c r="AV38" s="215">
        <f>AR38+AS38+AT38+AU38</f>
        <v>0</v>
      </c>
    </row>
    <row r="39" spans="1:48" ht="40.5" customHeight="1">
      <c r="A39" s="186" t="s">
        <v>196</v>
      </c>
      <c r="B39" s="222" t="s">
        <v>313</v>
      </c>
      <c r="C39" s="223">
        <f>C17+C27+C38</f>
        <v>0</v>
      </c>
      <c r="D39" s="223">
        <f>D17+D27+D38</f>
        <v>0</v>
      </c>
      <c r="E39" s="223">
        <f>E17+E27+E38</f>
        <v>0</v>
      </c>
      <c r="F39" s="223">
        <f>F17+F27+F38</f>
        <v>0</v>
      </c>
      <c r="G39" s="223">
        <f t="shared" si="25"/>
        <v>0</v>
      </c>
      <c r="H39" s="223">
        <f>H17+H27+H38</f>
        <v>30918.909752485873</v>
      </c>
      <c r="I39" s="223">
        <f>I17+I27+I38</f>
        <v>30937.286868305084</v>
      </c>
      <c r="J39" s="223">
        <f>J17+J27+J38</f>
        <v>39803.121611242925</v>
      </c>
      <c r="K39" s="223">
        <f>K17+K27+K38</f>
        <v>39821.498727062135</v>
      </c>
      <c r="L39" s="223">
        <f>H39+I39+J39+K39</f>
        <v>141480.816959096</v>
      </c>
      <c r="M39" s="225" t="str">
        <f>A39</f>
        <v>10.</v>
      </c>
      <c r="N39" s="222" t="str">
        <f t="shared" si="26"/>
        <v>Чистое увеличение (уменьшение) денежных средств и их эквивалентов (п.3+п.6+п.9)</v>
      </c>
      <c r="O39" s="223">
        <f>O17+O27+O38</f>
        <v>18477.674333740302</v>
      </c>
      <c r="P39" s="223">
        <f>P17+P27+P38</f>
        <v>18496.051449559513</v>
      </c>
      <c r="Q39" s="223">
        <f>Q17+Q27+Q38</f>
        <v>18514.428565378723</v>
      </c>
      <c r="R39" s="223">
        <f>R17+R27+R38</f>
        <v>18532.805681197933</v>
      </c>
      <c r="S39" s="223">
        <f t="shared" si="27"/>
        <v>74020.960029876471</v>
      </c>
      <c r="T39" s="223">
        <f>T17+T27+T38</f>
        <v>18551.182797017143</v>
      </c>
      <c r="U39" s="223">
        <f>U17+U27+U38</f>
        <v>18569.559912836354</v>
      </c>
      <c r="V39" s="223">
        <f>V17+V27+V38</f>
        <v>18587.937028655564</v>
      </c>
      <c r="W39" s="223">
        <f>W17+W27+W38</f>
        <v>18606.314144474767</v>
      </c>
      <c r="X39" s="223">
        <f>T39+U39+V39+W39</f>
        <v>74314.993882983836</v>
      </c>
      <c r="Y39" s="225" t="str">
        <f>M39</f>
        <v>10.</v>
      </c>
      <c r="Z39" s="222" t="str">
        <f t="shared" si="28"/>
        <v>Чистое увеличение (уменьшение) денежных средств и их эквивалентов (п.3+п.6+п.9)</v>
      </c>
      <c r="AA39" s="223">
        <f>AA17+AA27+AA38</f>
        <v>18624.691260293977</v>
      </c>
      <c r="AB39" s="223">
        <f>AB17+AB27+AB38</f>
        <v>18643.068376113188</v>
      </c>
      <c r="AC39" s="223">
        <f>AC17+AC27+AC38</f>
        <v>18661.445491932398</v>
      </c>
      <c r="AD39" s="223">
        <f>AD17+AD27+AD38</f>
        <v>18679.822607751601</v>
      </c>
      <c r="AE39" s="223">
        <f t="shared" si="29"/>
        <v>74609.027736091171</v>
      </c>
      <c r="AF39" s="223">
        <f>AF17+AF27+AF38</f>
        <v>18698.199723570811</v>
      </c>
      <c r="AG39" s="223">
        <f>AG17+AG27+AG38</f>
        <v>18716.576839390022</v>
      </c>
      <c r="AH39" s="223">
        <f>AH17+AH27+AH38</f>
        <v>18734.953955209232</v>
      </c>
      <c r="AI39" s="223">
        <f>AI17+AI27+AI38</f>
        <v>18753.331071028442</v>
      </c>
      <c r="AJ39" s="223">
        <f>AF39+AG39+AH39+AI39</f>
        <v>74903.061589198507</v>
      </c>
      <c r="AK39" s="225" t="str">
        <f>Y39</f>
        <v>10.</v>
      </c>
      <c r="AL39" s="222" t="str">
        <f t="shared" si="30"/>
        <v>Чистое увеличение (уменьшение) денежных средств и их эквивалентов (п.3+п.6+п.9)</v>
      </c>
      <c r="AM39" s="223">
        <f>AM17+AM27+AM38</f>
        <v>18771.708186847653</v>
      </c>
      <c r="AN39" s="223">
        <f>AN17+AN27+AN38</f>
        <v>18790.085302666863</v>
      </c>
      <c r="AO39" s="223">
        <f>AO17+AO27+AO38</f>
        <v>18808.462418486073</v>
      </c>
      <c r="AP39" s="223">
        <f>AP17+AP27+AP38</f>
        <v>18826.839534305283</v>
      </c>
      <c r="AQ39" s="223">
        <f t="shared" si="31"/>
        <v>75197.095442305872</v>
      </c>
      <c r="AR39" s="223">
        <f>AR17+AR27+AR38</f>
        <v>18845.216650124494</v>
      </c>
      <c r="AS39" s="223">
        <f>AS17+AS27+AS38</f>
        <v>18863.593765943704</v>
      </c>
      <c r="AT39" s="223">
        <f>AT17+AT27+AT38</f>
        <v>18881.970881762907</v>
      </c>
      <c r="AU39" s="223">
        <f>AU17+AU27+AU38</f>
        <v>18900.347997582117</v>
      </c>
      <c r="AV39" s="223">
        <f>AR39+AS39+AT39+AU39</f>
        <v>75491.129295413222</v>
      </c>
    </row>
    <row r="40" spans="1:48" ht="38.25" customHeight="1">
      <c r="A40" s="221" t="s">
        <v>278</v>
      </c>
      <c r="B40" s="214" t="s">
        <v>314</v>
      </c>
      <c r="C40" s="223">
        <f>C39</f>
        <v>0</v>
      </c>
      <c r="D40" s="223">
        <f>C40+D39</f>
        <v>0</v>
      </c>
      <c r="E40" s="223">
        <f>D40+E39</f>
        <v>0</v>
      </c>
      <c r="F40" s="223">
        <f>E40+F39</f>
        <v>0</v>
      </c>
      <c r="G40" s="215">
        <f>F40</f>
        <v>0</v>
      </c>
      <c r="H40" s="223">
        <f>G40+H39</f>
        <v>30918.909752485873</v>
      </c>
      <c r="I40" s="223">
        <f>H40+I39</f>
        <v>61856.196620790957</v>
      </c>
      <c r="J40" s="223">
        <f>I40+J39</f>
        <v>101659.31823203388</v>
      </c>
      <c r="K40" s="223">
        <f>J40+K39</f>
        <v>141480.816959096</v>
      </c>
      <c r="L40" s="223">
        <f>K40</f>
        <v>141480.816959096</v>
      </c>
      <c r="M40" s="213" t="str">
        <f>A40</f>
        <v>11.</v>
      </c>
      <c r="N40" s="214" t="str">
        <f t="shared" si="26"/>
        <v>Чистое увеличение (уменьшение) денежных средств и их эквивалентов нарастающим итогом</v>
      </c>
      <c r="O40" s="223">
        <f>L40+O39</f>
        <v>159958.49129283632</v>
      </c>
      <c r="P40" s="223">
        <f>O40+P39</f>
        <v>178454.54274239583</v>
      </c>
      <c r="Q40" s="223">
        <f>P40+Q39</f>
        <v>196968.97130777454</v>
      </c>
      <c r="R40" s="223">
        <f>Q40+R39</f>
        <v>215501.77698897247</v>
      </c>
      <c r="S40" s="223">
        <f>R40</f>
        <v>215501.77698897247</v>
      </c>
      <c r="T40" s="223">
        <f>S40+T39</f>
        <v>234052.9597859896</v>
      </c>
      <c r="U40" s="223">
        <f>T40+U39</f>
        <v>252622.51969882596</v>
      </c>
      <c r="V40" s="223">
        <f>U40+V39</f>
        <v>271210.45672748151</v>
      </c>
      <c r="W40" s="223">
        <f>V40+W39</f>
        <v>289816.77087195625</v>
      </c>
      <c r="X40" s="223">
        <f>W40</f>
        <v>289816.77087195625</v>
      </c>
      <c r="Y40" s="213" t="str">
        <f>M40</f>
        <v>11.</v>
      </c>
      <c r="Z40" s="214" t="str">
        <f t="shared" si="28"/>
        <v>Чистое увеличение (уменьшение) денежных средств и их эквивалентов нарастающим итогом</v>
      </c>
      <c r="AA40" s="223">
        <f>X40+AA39</f>
        <v>308441.46213225025</v>
      </c>
      <c r="AB40" s="223">
        <f>AA40+AB39</f>
        <v>327084.53050836344</v>
      </c>
      <c r="AC40" s="223">
        <f>AB40+AC39</f>
        <v>345745.97600029584</v>
      </c>
      <c r="AD40" s="223">
        <f>AC40+AD39</f>
        <v>364425.79860804742</v>
      </c>
      <c r="AE40" s="223">
        <f>AD40</f>
        <v>364425.79860804742</v>
      </c>
      <c r="AF40" s="223">
        <f>AE40+AF39</f>
        <v>383123.99833161826</v>
      </c>
      <c r="AG40" s="223">
        <f>AF40+AG39</f>
        <v>401840.5751710083</v>
      </c>
      <c r="AH40" s="223">
        <f>AG40+AH39</f>
        <v>420575.52912621753</v>
      </c>
      <c r="AI40" s="223">
        <f>AH40+AI39</f>
        <v>439328.86019724596</v>
      </c>
      <c r="AJ40" s="223">
        <f>AI40</f>
        <v>439328.86019724596</v>
      </c>
      <c r="AK40" s="213" t="str">
        <f>Y40</f>
        <v>11.</v>
      </c>
      <c r="AL40" s="214" t="str">
        <f t="shared" si="30"/>
        <v>Чистое увеличение (уменьшение) денежных средств и их эквивалентов нарастающим итогом</v>
      </c>
      <c r="AM40" s="223">
        <f>AJ40+AM39</f>
        <v>458100.56838409358</v>
      </c>
      <c r="AN40" s="223">
        <f>AM40+AN39</f>
        <v>476890.65368676046</v>
      </c>
      <c r="AO40" s="223">
        <f>AN40+AO39</f>
        <v>495699.11610524653</v>
      </c>
      <c r="AP40" s="223">
        <f>AO40+AP39</f>
        <v>514525.9556395518</v>
      </c>
      <c r="AQ40" s="223">
        <f>AP40</f>
        <v>514525.9556395518</v>
      </c>
      <c r="AR40" s="223">
        <f>AQ40+AR39</f>
        <v>533371.17228967627</v>
      </c>
      <c r="AS40" s="223">
        <f>AR40+AS39</f>
        <v>552234.76605561993</v>
      </c>
      <c r="AT40" s="223">
        <f>AS40+AT39</f>
        <v>571116.73693738284</v>
      </c>
      <c r="AU40" s="223">
        <f>AT40+AU39</f>
        <v>590017.08493496501</v>
      </c>
      <c r="AV40" s="223">
        <f>AU40</f>
        <v>590017.08493496501</v>
      </c>
    </row>
    <row r="41" spans="1:48" ht="1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5">
        <v>1</v>
      </c>
      <c r="M41" s="18"/>
      <c r="N41" s="18"/>
      <c r="O41" s="18"/>
      <c r="P41" s="18"/>
      <c r="Q41" s="18"/>
      <c r="R41" s="18"/>
      <c r="S41" s="35">
        <v>2</v>
      </c>
      <c r="T41" s="18"/>
      <c r="U41" s="18"/>
      <c r="V41" s="18"/>
      <c r="W41" s="18"/>
      <c r="X41" s="35">
        <v>3</v>
      </c>
      <c r="Y41" s="18"/>
      <c r="Z41" s="18"/>
      <c r="AA41" s="18"/>
      <c r="AB41" s="18"/>
      <c r="AC41" s="18"/>
      <c r="AD41" s="18"/>
      <c r="AE41" s="35">
        <v>4</v>
      </c>
      <c r="AF41" s="18"/>
      <c r="AG41" s="18"/>
      <c r="AH41" s="18"/>
      <c r="AI41" s="18"/>
      <c r="AJ41" s="35">
        <v>5</v>
      </c>
      <c r="AK41" s="18"/>
      <c r="AL41" s="18"/>
      <c r="AM41" s="18"/>
      <c r="AN41" s="18"/>
      <c r="AO41" s="18"/>
      <c r="AP41" s="18"/>
      <c r="AQ41" s="35">
        <v>6</v>
      </c>
      <c r="AR41" s="18"/>
      <c r="AS41" s="18"/>
      <c r="AT41" s="18"/>
      <c r="AU41" s="18"/>
      <c r="AV41" s="35">
        <v>7</v>
      </c>
    </row>
    <row r="42" spans="1:48" ht="15" customHeight="1">
      <c r="A42" s="2"/>
      <c r="B42" s="226" t="s">
        <v>315</v>
      </c>
      <c r="C42" s="146">
        <f>C17</f>
        <v>0</v>
      </c>
      <c r="D42" s="146">
        <f>C42+D17</f>
        <v>0</v>
      </c>
      <c r="E42" s="146">
        <f>D42+E17</f>
        <v>0</v>
      </c>
      <c r="F42" s="146">
        <f>E42+F17</f>
        <v>0</v>
      </c>
      <c r="G42" s="146"/>
      <c r="H42" s="146">
        <f>F42+H17</f>
        <v>30918.909752485873</v>
      </c>
      <c r="I42" s="146">
        <f>H42+I17</f>
        <v>61856.196620790957</v>
      </c>
      <c r="J42" s="146">
        <f>I42+J17</f>
        <v>101659.31823203388</v>
      </c>
      <c r="K42" s="146">
        <f>J42+K17</f>
        <v>141480.816959096</v>
      </c>
      <c r="L42" s="2"/>
      <c r="M42" s="2"/>
      <c r="N42" s="2"/>
      <c r="O42" s="146">
        <f>K42+O17</f>
        <v>159958.49129283632</v>
      </c>
      <c r="P42" s="146">
        <f>O42+P17</f>
        <v>178454.54274239583</v>
      </c>
      <c r="Q42" s="146">
        <f>P42+Q17</f>
        <v>196968.97130777454</v>
      </c>
      <c r="R42" s="146">
        <f>Q42+R17</f>
        <v>215501.77698897247</v>
      </c>
      <c r="S42" s="146"/>
      <c r="T42" s="146">
        <f>R42+T17</f>
        <v>234052.9597859896</v>
      </c>
      <c r="U42" s="146">
        <f>T42+U17</f>
        <v>252622.51969882596</v>
      </c>
      <c r="V42" s="146">
        <f>U42+V17</f>
        <v>271210.45672748151</v>
      </c>
      <c r="W42" s="146">
        <f>V42+W17</f>
        <v>289816.77087195625</v>
      </c>
      <c r="X42" s="2"/>
      <c r="Y42" s="2"/>
      <c r="Z42" s="2"/>
      <c r="AA42" s="146">
        <f>W42+AA17</f>
        <v>308441.46213225025</v>
      </c>
      <c r="AB42" s="146">
        <f>AA42+AB17</f>
        <v>327084.53050836344</v>
      </c>
      <c r="AC42" s="146">
        <f>AB42+AC17</f>
        <v>345745.97600029584</v>
      </c>
      <c r="AD42" s="146">
        <f>AC42+AD17</f>
        <v>364425.79860804742</v>
      </c>
      <c r="AE42" s="146"/>
      <c r="AF42" s="146">
        <f>AD42+AF17</f>
        <v>383123.99833161826</v>
      </c>
      <c r="AG42" s="146">
        <f>AF42+AG17</f>
        <v>401840.5751710083</v>
      </c>
      <c r="AH42" s="146">
        <f>AG42+AH17</f>
        <v>420575.52912621753</v>
      </c>
      <c r="AI42" s="146">
        <f>AH42+AI17</f>
        <v>439328.86019724596</v>
      </c>
      <c r="AJ42" s="2"/>
      <c r="AK42" s="2"/>
      <c r="AL42" s="2"/>
      <c r="AM42" s="146">
        <f>AI42+AM17</f>
        <v>458100.56838409358</v>
      </c>
      <c r="AN42" s="146">
        <f>AM42+AN17</f>
        <v>476890.65368676046</v>
      </c>
      <c r="AO42" s="146">
        <f>AN42+AO17</f>
        <v>495699.11610524653</v>
      </c>
      <c r="AP42" s="146">
        <f>AO42+AP17</f>
        <v>514525.9556395518</v>
      </c>
      <c r="AQ42" s="146"/>
      <c r="AR42" s="146">
        <f>AP42+AR17</f>
        <v>533371.17228967627</v>
      </c>
      <c r="AS42" s="146">
        <f>AR42+AS17</f>
        <v>552234.76605561993</v>
      </c>
      <c r="AT42" s="146">
        <f>AS42+AT17</f>
        <v>571116.73693738284</v>
      </c>
      <c r="AU42" s="146">
        <f>AT42+AU17</f>
        <v>590017.08493496501</v>
      </c>
      <c r="AV42" s="2"/>
    </row>
    <row r="43" spans="1:48" ht="15" customHeight="1">
      <c r="A43" s="2"/>
      <c r="B43" s="2"/>
      <c r="C43" s="146">
        <f>C28</f>
        <v>0</v>
      </c>
      <c r="D43" s="146">
        <f>C43+D28</f>
        <v>0</v>
      </c>
      <c r="E43" s="146">
        <f>D43+E28</f>
        <v>0</v>
      </c>
      <c r="F43" s="146">
        <f>E43+F28</f>
        <v>0</v>
      </c>
      <c r="G43" s="2"/>
      <c r="H43" s="146">
        <f>F43+H28</f>
        <v>30918.909752485873</v>
      </c>
      <c r="I43" s="146">
        <f>H43+I28</f>
        <v>61856.196620790957</v>
      </c>
      <c r="J43" s="146">
        <f>I43+J28</f>
        <v>101659.31823203388</v>
      </c>
      <c r="K43" s="146">
        <f>J43+K28</f>
        <v>141480.816959096</v>
      </c>
      <c r="L43" s="2"/>
      <c r="M43" s="2"/>
      <c r="N43" s="2"/>
      <c r="O43" s="146">
        <f>K43+O17</f>
        <v>159958.49129283632</v>
      </c>
      <c r="P43" s="146">
        <f>O43+P17</f>
        <v>178454.54274239583</v>
      </c>
      <c r="Q43" s="146">
        <f>P43+Q17</f>
        <v>196968.97130777454</v>
      </c>
      <c r="R43" s="146">
        <f>Q43+R17</f>
        <v>215501.77698897247</v>
      </c>
      <c r="S43" s="2"/>
      <c r="T43" s="146">
        <f>R43+T17</f>
        <v>234052.9597859896</v>
      </c>
      <c r="U43" s="146">
        <f>T43+U17</f>
        <v>252622.51969882596</v>
      </c>
      <c r="V43" s="146">
        <f>U43+V17</f>
        <v>271210.45672748151</v>
      </c>
      <c r="W43" s="146">
        <f>V43+W17</f>
        <v>289816.77087195625</v>
      </c>
      <c r="X43" s="2"/>
      <c r="Y43" s="2"/>
      <c r="Z43" s="2"/>
      <c r="AA43" s="146">
        <f>W43+AA17</f>
        <v>308441.46213225025</v>
      </c>
      <c r="AB43" s="146">
        <f>AA43+AB17</f>
        <v>327084.53050836344</v>
      </c>
      <c r="AC43" s="146">
        <f>AB43+AC17</f>
        <v>345745.97600029584</v>
      </c>
      <c r="AD43" s="146">
        <f>AC43+AD17</f>
        <v>364425.79860804742</v>
      </c>
      <c r="AE43" s="2"/>
      <c r="AF43" s="146">
        <f>AD43+AF17</f>
        <v>383123.99833161826</v>
      </c>
      <c r="AG43" s="146">
        <f>AF43+AG17</f>
        <v>401840.5751710083</v>
      </c>
      <c r="AH43" s="146">
        <f>AG43+AH17</f>
        <v>420575.52912621753</v>
      </c>
      <c r="AI43" s="146">
        <f>AH43+AI17</f>
        <v>439328.86019724596</v>
      </c>
      <c r="AJ43" s="2"/>
      <c r="AK43" s="2"/>
      <c r="AL43" s="2"/>
      <c r="AM43" s="146">
        <f>AI43+AM17</f>
        <v>458100.56838409358</v>
      </c>
      <c r="AN43" s="146">
        <f>AM43+AN17</f>
        <v>476890.65368676046</v>
      </c>
      <c r="AO43" s="146">
        <f>AN43+AO17</f>
        <v>495699.11610524653</v>
      </c>
      <c r="AP43" s="146">
        <f>AO43+AP17</f>
        <v>514525.9556395518</v>
      </c>
      <c r="AQ43" s="2"/>
      <c r="AR43" s="146">
        <f>AP43+AR17</f>
        <v>533371.17228967627</v>
      </c>
      <c r="AS43" s="146">
        <f>AR43+AS17</f>
        <v>552234.76605561993</v>
      </c>
      <c r="AT43" s="146">
        <f>AS43+AT17</f>
        <v>571116.73693738284</v>
      </c>
      <c r="AU43" s="146">
        <f>AT43+AU17</f>
        <v>590017.08493496501</v>
      </c>
      <c r="AV43" s="2"/>
    </row>
    <row r="44" spans="1:48" ht="15" customHeight="1">
      <c r="A44" s="2"/>
      <c r="B44" s="382" t="s">
        <v>337</v>
      </c>
      <c r="C44" s="146">
        <f>C27</f>
        <v>0</v>
      </c>
      <c r="D44" s="146">
        <f>C44+D27</f>
        <v>0</v>
      </c>
      <c r="E44" s="146">
        <f>D44+E27</f>
        <v>0</v>
      </c>
      <c r="F44" s="146">
        <f>E44+F27</f>
        <v>0</v>
      </c>
      <c r="G44" s="2"/>
      <c r="H44" s="146">
        <f>H43*'Т 11'!H6</f>
        <v>26763.296106701233</v>
      </c>
      <c r="I44" s="146">
        <f>I43*'Т 11'!I6</f>
        <v>52018.96725599646</v>
      </c>
      <c r="J44" s="146">
        <f>J43*'Т 11'!J6</f>
        <v>83059.40033212016</v>
      </c>
      <c r="K44" s="146">
        <f>K43*'Т 11'!K6</f>
        <v>112305.81474611603</v>
      </c>
      <c r="L44" s="2"/>
      <c r="M44" s="2"/>
      <c r="N44" s="2"/>
      <c r="O44" s="2">
        <f>O43*'Т 11'!O6</f>
        <v>123360.20111121413</v>
      </c>
      <c r="P44" s="2">
        <f>P43*'Т 11'!P6</f>
        <v>133708.32945618057</v>
      </c>
      <c r="Q44" s="2">
        <f>Q43*'Т 11'!Q6</f>
        <v>143381.05024645446</v>
      </c>
      <c r="R44" s="2">
        <f>R43*'Т 11'!R6</f>
        <v>152408.04125179618</v>
      </c>
      <c r="S44" s="2"/>
      <c r="T44" s="2">
        <f>T43*'Т 11'!T6</f>
        <v>160817.84898773476</v>
      </c>
      <c r="U44" s="2">
        <f>U43*'Т 11'!U6</f>
        <v>168637.92875713206</v>
      </c>
      <c r="V44" s="2">
        <f>V43*'Т 11'!V6</f>
        <v>175894.68333771839</v>
      </c>
      <c r="W44" s="2">
        <f>W43*'Т 11'!W6</f>
        <v>182613.50035998729</v>
      </c>
      <c r="X44" s="2"/>
      <c r="Y44" s="2"/>
      <c r="Z44" s="2"/>
      <c r="AA44" s="2">
        <f>AA43*'Т 11'!AA6</f>
        <v>188818.78841841323</v>
      </c>
      <c r="AB44" s="2">
        <f>AB43*'Т 11'!AB6</f>
        <v>194534.01195757894</v>
      </c>
      <c r="AC44" s="2">
        <f>AC43*'Т 11'!AC6</f>
        <v>199781.7249734647</v>
      </c>
      <c r="AD44" s="2">
        <f>AD43*'Т 11'!AD6</f>
        <v>204583.60356885882</v>
      </c>
      <c r="AE44" s="2"/>
      <c r="AF44" s="2">
        <f>AF43*'Т 11'!AH6</f>
        <v>208960.47740059835</v>
      </c>
      <c r="AG44" s="2">
        <f>AG43*'Т 11'!AI6</f>
        <v>212932.3600551358</v>
      </c>
      <c r="AH44" s="2">
        <f>AH43*'Т 11'!AJ6</f>
        <v>216518.47838775453</v>
      </c>
      <c r="AI44" s="2">
        <f>AI43*'Т 11'!AK6</f>
        <v>219737.30085961882</v>
      </c>
      <c r="AJ44" s="2"/>
      <c r="AK44" s="2"/>
      <c r="AL44" s="2"/>
      <c r="AM44" s="2">
        <f>AM43*'Т 11'!AO6</f>
        <v>222606.56490574332</v>
      </c>
      <c r="AN44" s="2">
        <f>AN43*'Т 11'!AP6</f>
        <v>225143.30336590152</v>
      </c>
      <c r="AO44" s="2">
        <f>AO43*'Т 11'!AQ6</f>
        <v>227363.87000945976</v>
      </c>
      <c r="AP44" s="2">
        <f>AP43*'Т 11'!AR6</f>
        <v>229283.96418412396</v>
      </c>
      <c r="AQ44" s="2"/>
      <c r="AR44" s="2">
        <f>AR43*'Т 11'!AT6</f>
        <v>230918.65461761938</v>
      </c>
      <c r="AS44" s="2">
        <f>AS43*'Т 11'!AU6</f>
        <v>232282.40240038448</v>
      </c>
      <c r="AT44" s="2">
        <f>AT43*'Т 11'!AV6</f>
        <v>233389.08317645383</v>
      </c>
      <c r="AU44" s="2">
        <f>AU43*'Т 11'!AW6</f>
        <v>234252.0085688268</v>
      </c>
      <c r="AV44" s="2"/>
    </row>
    <row r="46" spans="1:48" ht="10.199999999999999" customHeight="1">
      <c r="AU46" s="208">
        <v>128310</v>
      </c>
    </row>
  </sheetData>
  <mergeCells count="40">
    <mergeCell ref="T3:X3"/>
    <mergeCell ref="Y3:Y4"/>
    <mergeCell ref="AF3:AJ3"/>
    <mergeCell ref="AK3:AK4"/>
    <mergeCell ref="A1:L1"/>
    <mergeCell ref="A3:A4"/>
    <mergeCell ref="B3:B4"/>
    <mergeCell ref="N3:N4"/>
    <mergeCell ref="A2:L2"/>
    <mergeCell ref="C3:G3"/>
    <mergeCell ref="H3:L3"/>
    <mergeCell ref="M2:X2"/>
    <mergeCell ref="M3:M4"/>
    <mergeCell ref="O3:S3"/>
    <mergeCell ref="M1:X1"/>
    <mergeCell ref="Y1:AJ1"/>
    <mergeCell ref="AK1:AV1"/>
    <mergeCell ref="Y2:AJ2"/>
    <mergeCell ref="AK2:AV2"/>
    <mergeCell ref="Z3:Z4"/>
    <mergeCell ref="AA3:AE3"/>
    <mergeCell ref="AL3:AL4"/>
    <mergeCell ref="AM3:AQ3"/>
    <mergeCell ref="AR3:AV3"/>
    <mergeCell ref="M28:N28"/>
    <mergeCell ref="M29:N29"/>
    <mergeCell ref="Y28:Z28"/>
    <mergeCell ref="Y29:Z29"/>
    <mergeCell ref="A6:B6"/>
    <mergeCell ref="A18:B18"/>
    <mergeCell ref="A28:B28"/>
    <mergeCell ref="A29:B29"/>
    <mergeCell ref="M6:N6"/>
    <mergeCell ref="M18:N18"/>
    <mergeCell ref="AK6:AL6"/>
    <mergeCell ref="AK18:AL18"/>
    <mergeCell ref="AK28:AL28"/>
    <mergeCell ref="AK29:AL29"/>
    <mergeCell ref="Y6:Z6"/>
    <mergeCell ref="Y18:Z18"/>
  </mergeCells>
  <pageMargins left="0.78740200000000005" right="0.78740200000000005" top="1.1811" bottom="0.59055100000000005" header="0.51181100000000002" footer="0.51181100000000002"/>
  <pageSetup scale="89" orientation="landscape"/>
  <headerFoot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O16"/>
  <sheetViews>
    <sheetView showGridLines="0" workbookViewId="0">
      <selection activeCell="D6" sqref="D6"/>
    </sheetView>
  </sheetViews>
  <sheetFormatPr defaultColWidth="9.109375" defaultRowHeight="10.199999999999999" customHeight="1"/>
  <cols>
    <col min="1" max="1" width="4.5546875" style="227" customWidth="1"/>
    <col min="2" max="2" width="26.5546875" style="227" customWidth="1"/>
    <col min="3" max="4" width="9.109375" style="227" customWidth="1"/>
    <col min="5" max="5" width="11.44140625" style="227" customWidth="1"/>
    <col min="6" max="6" width="11.88671875" style="227" customWidth="1"/>
    <col min="7" max="7" width="9.109375" style="227" customWidth="1"/>
    <col min="8" max="11" width="12.44140625" style="227" customWidth="1"/>
    <col min="12" max="12" width="9.109375" style="227" customWidth="1"/>
    <col min="13" max="13" width="4.5546875" style="227" customWidth="1"/>
    <col min="14" max="14" width="26.5546875" style="227" customWidth="1"/>
    <col min="15" max="24" width="9.5546875" style="227" customWidth="1"/>
    <col min="25" max="25" width="4.5546875" style="227" customWidth="1"/>
    <col min="26" max="26" width="26.5546875" style="227" customWidth="1"/>
    <col min="27" max="30" width="9.44140625" style="227" customWidth="1"/>
    <col min="31" max="31" width="13.44140625" style="227" customWidth="1"/>
    <col min="32" max="33" width="13.44140625" style="227" hidden="1" customWidth="1"/>
    <col min="34" max="38" width="13.44140625" style="227" customWidth="1"/>
    <col min="39" max="39" width="4.77734375" style="227" customWidth="1"/>
    <col min="40" max="40" width="41.77734375" style="227" customWidth="1"/>
    <col min="41" max="50" width="13.44140625" style="227" customWidth="1"/>
    <col min="51" max="275" width="9.109375" style="227" customWidth="1"/>
  </cols>
  <sheetData>
    <row r="1" spans="1:51" ht="15" customHeight="1">
      <c r="A1" s="356" t="s">
        <v>316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6" t="s">
        <v>317</v>
      </c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6" t="s">
        <v>317</v>
      </c>
      <c r="Z1" s="357"/>
      <c r="AA1" s="357"/>
      <c r="AB1" s="357"/>
      <c r="AC1" s="357"/>
      <c r="AD1" s="357"/>
      <c r="AE1" s="365"/>
      <c r="AF1" s="356" t="s">
        <v>317</v>
      </c>
      <c r="AG1" s="357"/>
      <c r="AH1" s="357"/>
      <c r="AI1" s="357"/>
      <c r="AJ1" s="357"/>
      <c r="AK1" s="357"/>
      <c r="AL1" s="365"/>
      <c r="AM1" s="369" t="s">
        <v>336</v>
      </c>
      <c r="AN1" s="369"/>
      <c r="AO1" s="369"/>
      <c r="AP1" s="369"/>
      <c r="AQ1" s="369"/>
      <c r="AR1" s="369"/>
      <c r="AS1" s="369"/>
      <c r="AT1" s="261"/>
      <c r="AU1" s="261"/>
      <c r="AV1" s="261"/>
      <c r="AW1" s="261"/>
      <c r="AX1" s="261"/>
      <c r="AY1" s="269"/>
    </row>
    <row r="2" spans="1:51" ht="15" customHeight="1">
      <c r="A2" s="364" t="s">
        <v>318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66"/>
      <c r="AF2" s="358"/>
      <c r="AG2" s="358"/>
      <c r="AH2" s="358"/>
      <c r="AI2" s="358"/>
      <c r="AJ2" s="358"/>
      <c r="AK2" s="358"/>
      <c r="AL2" s="366"/>
      <c r="AM2" s="370"/>
      <c r="AN2" s="370"/>
      <c r="AO2" s="370"/>
      <c r="AP2" s="370"/>
      <c r="AQ2" s="370"/>
      <c r="AR2" s="370"/>
      <c r="AS2" s="370"/>
      <c r="AT2" s="262"/>
      <c r="AU2" s="262"/>
      <c r="AV2" s="262"/>
      <c r="AW2" s="262"/>
      <c r="AX2" s="262"/>
      <c r="AY2" s="63"/>
    </row>
    <row r="3" spans="1:51" ht="12.75" customHeight="1">
      <c r="A3" s="359" t="s">
        <v>53</v>
      </c>
      <c r="B3" s="359" t="s">
        <v>104</v>
      </c>
      <c r="C3" s="361" t="str">
        <f>'Исходные данные'!$B$26+G15&amp;" год"</f>
        <v>2021 год</v>
      </c>
      <c r="D3" s="362"/>
      <c r="E3" s="362"/>
      <c r="F3" s="362"/>
      <c r="G3" s="363"/>
      <c r="H3" s="361" t="str">
        <f>'Исходные данные'!$B$26+L15&amp;" год"</f>
        <v>2022 год</v>
      </c>
      <c r="I3" s="362"/>
      <c r="J3" s="362"/>
      <c r="K3" s="362"/>
      <c r="L3" s="363"/>
      <c r="M3" s="359" t="s">
        <v>53</v>
      </c>
      <c r="N3" s="359" t="s">
        <v>104</v>
      </c>
      <c r="O3" s="361" t="str">
        <f>'Исходные данные'!$B$26+S15&amp;" год"</f>
        <v>2023 год</v>
      </c>
      <c r="P3" s="362"/>
      <c r="Q3" s="362"/>
      <c r="R3" s="362"/>
      <c r="S3" s="363"/>
      <c r="T3" s="361" t="str">
        <f>'Исходные данные'!$B$26+X15&amp;" год"</f>
        <v>2024 год</v>
      </c>
      <c r="U3" s="362"/>
      <c r="V3" s="362"/>
      <c r="W3" s="362"/>
      <c r="X3" s="363"/>
      <c r="Y3" s="359" t="s">
        <v>53</v>
      </c>
      <c r="Z3" s="359" t="s">
        <v>104</v>
      </c>
      <c r="AA3" s="361" t="str">
        <f>'Исходные данные'!$B$26+AE15&amp;" год"</f>
        <v>2025 год</v>
      </c>
      <c r="AB3" s="362"/>
      <c r="AC3" s="362"/>
      <c r="AD3" s="362"/>
      <c r="AE3" s="368"/>
      <c r="AF3" s="359" t="s">
        <v>53</v>
      </c>
      <c r="AG3" s="359" t="s">
        <v>104</v>
      </c>
      <c r="AH3" s="361" t="str">
        <f>'Исходные данные'!$B$26+AL15&amp;" год"</f>
        <v>2026 год</v>
      </c>
      <c r="AI3" s="362"/>
      <c r="AJ3" s="362"/>
      <c r="AK3" s="362"/>
      <c r="AL3" s="367"/>
      <c r="AM3" s="372" t="s">
        <v>53</v>
      </c>
      <c r="AN3" s="373" t="s">
        <v>104</v>
      </c>
      <c r="AO3" s="371" t="str">
        <f>'Исходные данные'!$B$26+AS15&amp;" год"</f>
        <v>2027 год</v>
      </c>
      <c r="AP3" s="372"/>
      <c r="AQ3" s="372"/>
      <c r="AR3" s="372"/>
      <c r="AS3" s="372"/>
      <c r="AT3" s="371" t="str">
        <f>'Исходные данные'!$B$26+AX15&amp;" год"</f>
        <v>2028 год</v>
      </c>
      <c r="AU3" s="372"/>
      <c r="AV3" s="372"/>
      <c r="AW3" s="372"/>
      <c r="AX3" s="372"/>
      <c r="AY3" s="63"/>
    </row>
    <row r="4" spans="1:51" ht="15" customHeight="1">
      <c r="A4" s="360"/>
      <c r="B4" s="360"/>
      <c r="C4" s="209" t="s">
        <v>58</v>
      </c>
      <c r="D4" s="209" t="s">
        <v>59</v>
      </c>
      <c r="E4" s="209" t="s">
        <v>60</v>
      </c>
      <c r="F4" s="209" t="s">
        <v>61</v>
      </c>
      <c r="G4" s="209" t="s">
        <v>62</v>
      </c>
      <c r="H4" s="209" t="s">
        <v>58</v>
      </c>
      <c r="I4" s="209" t="s">
        <v>59</v>
      </c>
      <c r="J4" s="209" t="s">
        <v>60</v>
      </c>
      <c r="K4" s="209" t="s">
        <v>61</v>
      </c>
      <c r="L4" s="209" t="s">
        <v>62</v>
      </c>
      <c r="M4" s="360"/>
      <c r="N4" s="360"/>
      <c r="O4" s="209" t="s">
        <v>58</v>
      </c>
      <c r="P4" s="209" t="s">
        <v>59</v>
      </c>
      <c r="Q4" s="209" t="s">
        <v>60</v>
      </c>
      <c r="R4" s="209" t="s">
        <v>61</v>
      </c>
      <c r="S4" s="209" t="s">
        <v>62</v>
      </c>
      <c r="T4" s="209" t="s">
        <v>58</v>
      </c>
      <c r="U4" s="209" t="s">
        <v>59</v>
      </c>
      <c r="V4" s="209" t="s">
        <v>60</v>
      </c>
      <c r="W4" s="209" t="s">
        <v>61</v>
      </c>
      <c r="X4" s="209" t="s">
        <v>62</v>
      </c>
      <c r="Y4" s="360"/>
      <c r="Z4" s="360"/>
      <c r="AA4" s="209" t="s">
        <v>58</v>
      </c>
      <c r="AB4" s="209" t="s">
        <v>59</v>
      </c>
      <c r="AC4" s="209" t="s">
        <v>60</v>
      </c>
      <c r="AD4" s="209" t="s">
        <v>61</v>
      </c>
      <c r="AE4" s="247" t="s">
        <v>62</v>
      </c>
      <c r="AF4" s="360"/>
      <c r="AG4" s="360"/>
      <c r="AH4" s="209" t="s">
        <v>58</v>
      </c>
      <c r="AI4" s="209" t="s">
        <v>59</v>
      </c>
      <c r="AJ4" s="209" t="s">
        <v>60</v>
      </c>
      <c r="AK4" s="247" t="s">
        <v>61</v>
      </c>
      <c r="AL4" s="263" t="s">
        <v>62</v>
      </c>
      <c r="AM4" s="372"/>
      <c r="AN4" s="374"/>
      <c r="AO4" s="270" t="s">
        <v>58</v>
      </c>
      <c r="AP4" s="270" t="s">
        <v>59</v>
      </c>
      <c r="AQ4" s="270" t="s">
        <v>60</v>
      </c>
      <c r="AR4" s="271" t="s">
        <v>61</v>
      </c>
      <c r="AS4" s="272" t="s">
        <v>62</v>
      </c>
      <c r="AT4" s="270" t="s">
        <v>58</v>
      </c>
      <c r="AU4" s="270" t="s">
        <v>59</v>
      </c>
      <c r="AV4" s="270" t="s">
        <v>60</v>
      </c>
      <c r="AW4" s="271" t="s">
        <v>61</v>
      </c>
      <c r="AX4" s="272" t="s">
        <v>62</v>
      </c>
      <c r="AY4" s="63"/>
    </row>
    <row r="5" spans="1:51" ht="15" customHeight="1">
      <c r="A5" s="210">
        <v>1</v>
      </c>
      <c r="B5" s="210">
        <v>2</v>
      </c>
      <c r="C5" s="210">
        <v>3</v>
      </c>
      <c r="D5" s="210">
        <v>4</v>
      </c>
      <c r="E5" s="210">
        <v>5</v>
      </c>
      <c r="F5" s="210">
        <v>6</v>
      </c>
      <c r="G5" s="210">
        <v>7</v>
      </c>
      <c r="H5" s="210">
        <v>8</v>
      </c>
      <c r="I5" s="210">
        <v>9</v>
      </c>
      <c r="J5" s="210">
        <v>10</v>
      </c>
      <c r="K5" s="210">
        <v>11</v>
      </c>
      <c r="L5" s="210">
        <v>12</v>
      </c>
      <c r="M5" s="210">
        <f t="shared" ref="M5:N12" si="0">A5</f>
        <v>1</v>
      </c>
      <c r="N5" s="210">
        <f t="shared" si="0"/>
        <v>2</v>
      </c>
      <c r="O5" s="210">
        <f>L5+1</f>
        <v>13</v>
      </c>
      <c r="P5" s="210">
        <f t="shared" ref="P5:X5" si="1">O5+1</f>
        <v>14</v>
      </c>
      <c r="Q5" s="210">
        <f t="shared" si="1"/>
        <v>15</v>
      </c>
      <c r="R5" s="210">
        <f t="shared" si="1"/>
        <v>16</v>
      </c>
      <c r="S5" s="210">
        <f t="shared" si="1"/>
        <v>17</v>
      </c>
      <c r="T5" s="210">
        <f t="shared" si="1"/>
        <v>18</v>
      </c>
      <c r="U5" s="210">
        <f t="shared" si="1"/>
        <v>19</v>
      </c>
      <c r="V5" s="210">
        <f t="shared" si="1"/>
        <v>20</v>
      </c>
      <c r="W5" s="210">
        <f t="shared" si="1"/>
        <v>21</v>
      </c>
      <c r="X5" s="210">
        <f t="shared" si="1"/>
        <v>22</v>
      </c>
      <c r="Y5" s="210">
        <f t="shared" ref="Y5:Z12" si="2">M5</f>
        <v>1</v>
      </c>
      <c r="Z5" s="210">
        <f t="shared" si="2"/>
        <v>2</v>
      </c>
      <c r="AA5" s="210">
        <f>X5+1</f>
        <v>23</v>
      </c>
      <c r="AB5" s="210">
        <f>AA5+1</f>
        <v>24</v>
      </c>
      <c r="AC5" s="210">
        <f>AB5+1</f>
        <v>25</v>
      </c>
      <c r="AD5" s="210">
        <f>AC5+1</f>
        <v>26</v>
      </c>
      <c r="AE5" s="248">
        <f>AD5+1</f>
        <v>27</v>
      </c>
      <c r="AF5" s="210">
        <f>Y5</f>
        <v>1</v>
      </c>
      <c r="AG5" s="210">
        <f t="shared" ref="AG5" si="3">Z5</f>
        <v>2</v>
      </c>
      <c r="AH5" s="210">
        <f>AE5+1</f>
        <v>28</v>
      </c>
      <c r="AI5" s="210">
        <f>AH5+1</f>
        <v>29</v>
      </c>
      <c r="AJ5" s="210">
        <f>AI5+1</f>
        <v>30</v>
      </c>
      <c r="AK5" s="248">
        <f>AJ5+1</f>
        <v>31</v>
      </c>
      <c r="AL5" s="264">
        <f>AK5+1</f>
        <v>32</v>
      </c>
      <c r="AM5" s="210">
        <f>Y5</f>
        <v>1</v>
      </c>
      <c r="AN5" s="210">
        <f>Z5</f>
        <v>2</v>
      </c>
      <c r="AO5" s="210">
        <f>AL5+1</f>
        <v>33</v>
      </c>
      <c r="AP5" s="210">
        <f>AO5+1</f>
        <v>34</v>
      </c>
      <c r="AQ5" s="210">
        <f>AP5+1</f>
        <v>35</v>
      </c>
      <c r="AR5" s="248">
        <f>AQ5+1</f>
        <v>36</v>
      </c>
      <c r="AS5" s="259">
        <f>AR5+1</f>
        <v>37</v>
      </c>
      <c r="AT5" s="210">
        <f>AQ5+1</f>
        <v>36</v>
      </c>
      <c r="AU5" s="210">
        <f>AT5+1</f>
        <v>37</v>
      </c>
      <c r="AV5" s="210">
        <f>AU5+1</f>
        <v>38</v>
      </c>
      <c r="AW5" s="248">
        <f>AV5+1</f>
        <v>39</v>
      </c>
      <c r="AX5" s="259">
        <f>AW5+1</f>
        <v>40</v>
      </c>
      <c r="AY5" s="63"/>
    </row>
    <row r="6" spans="1:51" ht="12" customHeight="1">
      <c r="A6" s="228" t="s">
        <v>63</v>
      </c>
      <c r="B6" s="217" t="s">
        <v>319</v>
      </c>
      <c r="C6" s="229">
        <f>1/POWER(1+$AY$6/100,1/4*C16)</f>
        <v>0.97154536788757007</v>
      </c>
      <c r="D6" s="229">
        <f>1/POWER(1+$AY$6/100,1/4*D16)</f>
        <v>0.94390040186379387</v>
      </c>
      <c r="E6" s="229">
        <f>1/POWER(1+$AY$6/100,1/4*E16)</f>
        <v>0.91704206317798476</v>
      </c>
      <c r="F6" s="229">
        <f>1/POWER(1+$AY$6/100,1/4*F16)</f>
        <v>0.89094796863863146</v>
      </c>
      <c r="G6" s="229">
        <f>F6</f>
        <v>0.89094796863863146</v>
      </c>
      <c r="H6" s="229">
        <f>1/POWER(1+$AY$6/100,1/4*H16)</f>
        <v>0.8655963719597024</v>
      </c>
      <c r="I6" s="229">
        <f>1/POWER(1+$AY$6/100,1/4*I16)</f>
        <v>0.84096614563773497</v>
      </c>
      <c r="J6" s="229">
        <f>1/POWER(1+$AY$6/100,1/4*J16)</f>
        <v>0.81703676334460507</v>
      </c>
      <c r="K6" s="229">
        <f>1/POWER(1+$AY$6/100,1/4*K16)</f>
        <v>0.79378828282130387</v>
      </c>
      <c r="L6" s="229">
        <f>K6</f>
        <v>0.79378828282130387</v>
      </c>
      <c r="M6" s="228" t="str">
        <f t="shared" si="0"/>
        <v>1.</v>
      </c>
      <c r="N6" s="217" t="str">
        <f t="shared" si="0"/>
        <v>Коэффициент дисконтирования</v>
      </c>
      <c r="O6" s="229">
        <f>1/POWER(1+$AY$6/100,1/4*O16)</f>
        <v>0.77120132925846607</v>
      </c>
      <c r="P6" s="229">
        <f>1/POWER(1+$AY$6/100,1/4*P16)</f>
        <v>0.74925707914979955</v>
      </c>
      <c r="Q6" s="229">
        <f>1/POWER(1+$AY$6/100,1/4*Q16)</f>
        <v>0.72793724460495812</v>
      </c>
      <c r="R6" s="229">
        <f>1/POWER(1+$AY$6/100,1/4*R16)</f>
        <v>0.70722405810878819</v>
      </c>
      <c r="S6" s="229">
        <f>R6</f>
        <v>0.70722405810878819</v>
      </c>
      <c r="T6" s="229">
        <f>1/POWER(1+$AY$6/100,1/4*T16)</f>
        <v>0.68710025771424277</v>
      </c>
      <c r="U6" s="229">
        <f>1/POWER(1+$AY$6/100,1/4*U16)</f>
        <v>0.66754907265662822</v>
      </c>
      <c r="V6" s="229">
        <f>1/POWER(1+$AY$6/100,1/4*V16)</f>
        <v>0.64855420937719011</v>
      </c>
      <c r="W6" s="229">
        <f>1/POWER(1+$AY$6/100,1/4*W16)</f>
        <v>0.63009983794439428</v>
      </c>
      <c r="X6" s="229">
        <f>W6</f>
        <v>0.63009983794439428</v>
      </c>
      <c r="Y6" s="228" t="str">
        <f t="shared" si="2"/>
        <v>1.</v>
      </c>
      <c r="Z6" s="217" t="str">
        <f t="shared" si="2"/>
        <v>Коэффициент дисконтирования</v>
      </c>
      <c r="AA6" s="229">
        <f>1/POWER(1+$AY$6/100,1/4*AA16)</f>
        <v>0.61217057886158477</v>
      </c>
      <c r="AB6" s="229">
        <f>1/POWER(1+$AY$6/100,1/4*AB16)</f>
        <v>0.59475149025002505</v>
      </c>
      <c r="AC6" s="229">
        <f>1/POWER(1+$AY$6/100,1/4*AC16)</f>
        <v>0.57782805539664117</v>
      </c>
      <c r="AD6" s="229">
        <f>1/POWER(1+$AY$6/100,1/4*AD16)</f>
        <v>0.56138617065608898</v>
      </c>
      <c r="AE6" s="249">
        <f>AD6</f>
        <v>0.56138617065608898</v>
      </c>
      <c r="AF6" s="228"/>
      <c r="AG6" s="217"/>
      <c r="AH6" s="229">
        <f>1/POWER(1+$AY$6/100,1/4*AH16)</f>
        <v>0.54541213369706409</v>
      </c>
      <c r="AI6" s="229">
        <f>1/POWER(1+$AY$6/100,1/4*AI16)</f>
        <v>0.5298926320830587</v>
      </c>
      <c r="AJ6" s="229">
        <f>1/POWER(1+$AY$6/100,1/4*AJ16)</f>
        <v>0.51481473217804807</v>
      </c>
      <c r="AK6" s="249">
        <f>1/POWER(1+$AY$6/100,1/4*AK16)</f>
        <v>0.50016586836786259</v>
      </c>
      <c r="AL6" s="265">
        <f>AK6</f>
        <v>0.50016586836786259</v>
      </c>
      <c r="AM6" s="260" t="str">
        <f>Y6</f>
        <v>1.</v>
      </c>
      <c r="AN6" s="260" t="str">
        <f>Z6</f>
        <v>Коэффициент дисконтирования</v>
      </c>
      <c r="AO6" s="229">
        <f>1/POWER(1+$AY$6/100,1/4*AO16)</f>
        <v>0.48593383258826095</v>
      </c>
      <c r="AP6" s="229">
        <f>1/POWER(1+$AY$6/100,1/4*AP16)</f>
        <v>0.4721067641509788</v>
      </c>
      <c r="AQ6" s="229">
        <f>1/POWER(1+$AY$6/100,1/4*AQ16)</f>
        <v>0.45867313985927299</v>
      </c>
      <c r="AR6" s="249">
        <f>1/POWER(1+$AY$6/100,1/4*AR16)</f>
        <v>0.44562176440472429</v>
      </c>
      <c r="AS6" s="260">
        <f>AR6</f>
        <v>0.44562176440472429</v>
      </c>
      <c r="AT6" s="229">
        <f>1/POWER(1+$AY$6/100,1/4*AT16)</f>
        <v>0.43294176103729587</v>
      </c>
      <c r="AU6" s="229">
        <f>1/POWER(1+$AY$6/100,1/4*AU16)</f>
        <v>0.4206225625008721</v>
      </c>
      <c r="AV6" s="229">
        <f>1/POWER(1+$AY$6/100,1/4*AV16)</f>
        <v>0.40865390222672215</v>
      </c>
      <c r="AW6" s="249">
        <f>1/POWER(1+$AY$6/100,1/4*AW16)</f>
        <v>0.39702580577755198</v>
      </c>
      <c r="AX6" s="260">
        <f>AW6</f>
        <v>0.39702580577755198</v>
      </c>
      <c r="AY6" s="252">
        <f>'Исходные данные'!B2*100</f>
        <v>12.24</v>
      </c>
    </row>
    <row r="7" spans="1:51" ht="15" customHeight="1">
      <c r="A7" s="230" t="s">
        <v>68</v>
      </c>
      <c r="B7" s="217" t="s">
        <v>320</v>
      </c>
      <c r="C7" s="212">
        <f>'Т 9'!C18-'Т 1'!D16</f>
        <v>-53250</v>
      </c>
      <c r="D7" s="212">
        <f>'Т 9'!D18-'Т 1'!E16</f>
        <v>-106500</v>
      </c>
      <c r="E7" s="212">
        <f>'Т 9'!E18-'Т 1'!F16</f>
        <v>-217750</v>
      </c>
      <c r="F7" s="212">
        <f>'Т 9'!F18-'Т 1'!G16</f>
        <v>-329000</v>
      </c>
      <c r="G7" s="212">
        <f>F7</f>
        <v>-329000</v>
      </c>
      <c r="H7" s="212">
        <f>'Т 9'!H18-'Т 1'!I16</f>
        <v>-294900.44</v>
      </c>
      <c r="I7" s="212">
        <f>'Т 9'!I18-'Т 1'!J16</f>
        <v>-260800.88</v>
      </c>
      <c r="J7" s="212">
        <f>'Т 9'!J18-'Т 1'!K16</f>
        <v>-226701.32</v>
      </c>
      <c r="K7" s="212">
        <f>'Т 9'!K18-'Т 1'!L16</f>
        <v>-192601.76</v>
      </c>
      <c r="L7" s="212">
        <f>K7</f>
        <v>-192601.76</v>
      </c>
      <c r="M7" s="228" t="str">
        <f t="shared" si="0"/>
        <v>2.</v>
      </c>
      <c r="N7" s="217" t="str">
        <f t="shared" si="0"/>
        <v>Срок окупаемости</v>
      </c>
      <c r="O7" s="212">
        <f>'Т 9'!O18-'Т 1'!P16</f>
        <v>-158502.20000000001</v>
      </c>
      <c r="P7" s="212">
        <f>'Т 9'!P18-'Т 1'!Q16</f>
        <v>-124402.64000000001</v>
      </c>
      <c r="Q7" s="212">
        <f>'Т 9'!Q18-'Т 1'!R16</f>
        <v>-90303.080000000016</v>
      </c>
      <c r="R7" s="212">
        <f>'Т 9'!R18-'Т 1'!S16</f>
        <v>-56203.520000000019</v>
      </c>
      <c r="S7" s="212">
        <f>R7</f>
        <v>-56203.520000000019</v>
      </c>
      <c r="T7" s="212">
        <f>'Т 9'!T18-'Т 1'!U16</f>
        <v>-22103.960000000021</v>
      </c>
      <c r="U7" s="212">
        <f>'Т 9'!U18-'Т 1'!V16</f>
        <v>11995.599999999977</v>
      </c>
      <c r="V7" s="212">
        <f>'Т 9'!V18-'Т 1'!W16</f>
        <v>46095.159999999974</v>
      </c>
      <c r="W7" s="212">
        <f>'Т 9'!W18-'Т 1'!X16</f>
        <v>80194.719999999972</v>
      </c>
      <c r="X7" s="212">
        <f>W7</f>
        <v>80194.719999999972</v>
      </c>
      <c r="Y7" s="228" t="str">
        <f t="shared" si="2"/>
        <v>2.</v>
      </c>
      <c r="Z7" s="217" t="str">
        <f t="shared" si="2"/>
        <v>Срок окупаемости</v>
      </c>
      <c r="AA7" s="212">
        <f>'Т 9'!AA18-'Т 1'!$C$14</f>
        <v>114294.27999999997</v>
      </c>
      <c r="AB7" s="212">
        <f>'Т 9'!AB18-'Т 1'!$C$14</f>
        <v>148393.83999999997</v>
      </c>
      <c r="AC7" s="212">
        <f>'Т 9'!AC18-'Т 1'!$C$14</f>
        <v>182493.39999999997</v>
      </c>
      <c r="AD7" s="212">
        <f>'Т 9'!AD18-'Т 1'!$C$14</f>
        <v>216592.95999999996</v>
      </c>
      <c r="AE7" s="250">
        <f>AD7</f>
        <v>216592.95999999996</v>
      </c>
      <c r="AF7" s="228"/>
      <c r="AG7" s="217"/>
      <c r="AH7" s="212">
        <f>'Т 9'!AF18-'Т 1'!$C$14</f>
        <v>250692.52000000002</v>
      </c>
      <c r="AI7" s="212">
        <f>'Т 9'!AG18-'Т 1'!$C$14</f>
        <v>284792.08000000007</v>
      </c>
      <c r="AJ7" s="212">
        <f>'Т 9'!AH18-'Т 1'!$C$14</f>
        <v>318891.64000000013</v>
      </c>
      <c r="AK7" s="250">
        <f>'Т 9'!AI18-'Т 1'!$C$14</f>
        <v>352991.20000000019</v>
      </c>
      <c r="AL7" s="266">
        <f>AK7</f>
        <v>352991.20000000019</v>
      </c>
      <c r="AM7" s="260" t="str">
        <f t="shared" ref="AM7:AM14" si="4">Y7</f>
        <v>2.</v>
      </c>
      <c r="AN7" s="260" t="str">
        <f t="shared" ref="AN7:AN14" si="5">Z7</f>
        <v>Срок окупаемости</v>
      </c>
      <c r="AO7" s="212">
        <f>'Т 9'!AM18-'Т 1'!$C$14</f>
        <v>387090.76000000024</v>
      </c>
      <c r="AP7" s="212">
        <f>'Т 9'!AN18-'Т 1'!$C$14</f>
        <v>421190.3200000003</v>
      </c>
      <c r="AQ7" s="212">
        <f>'Т 9'!AO18-'Т 1'!$C$14</f>
        <v>455289.88000000035</v>
      </c>
      <c r="AR7" s="250">
        <f>'Т 9'!AP18-'Т 1'!$C$14</f>
        <v>489389.44000000041</v>
      </c>
      <c r="AS7" s="255">
        <f>AR7</f>
        <v>489389.44000000041</v>
      </c>
      <c r="AT7" s="212">
        <f>'Т 9'!AR18-'Т 1'!$C$14</f>
        <v>523489.00000000047</v>
      </c>
      <c r="AU7" s="212">
        <f>'Т 9'!AS18-'Т 1'!$C$14</f>
        <v>557588.56000000052</v>
      </c>
      <c r="AV7" s="212">
        <f>'Т 9'!AT18-'Т 1'!$C$14</f>
        <v>591688.12000000058</v>
      </c>
      <c r="AW7" s="250">
        <f>'Т 9'!AU18-'Т 1'!$C$14</f>
        <v>625787.68000000063</v>
      </c>
      <c r="AX7" s="255">
        <f>AW7</f>
        <v>625787.68000000063</v>
      </c>
      <c r="AY7" s="253"/>
    </row>
    <row r="8" spans="1:51" ht="15" customHeight="1">
      <c r="A8" s="230" t="s">
        <v>70</v>
      </c>
      <c r="B8" s="217" t="s">
        <v>321</v>
      </c>
      <c r="C8" s="212">
        <f>'Т 9'!C18*C6-'Т 1'!D17</f>
        <v>-51734.790840013105</v>
      </c>
      <c r="D8" s="212">
        <f>'Т 9'!D18*D6-'Т 1'!E17</f>
        <v>-101997.48723926014</v>
      </c>
      <c r="E8" s="212">
        <f>'Т 9'!E18*E6-'Т 1'!F17</f>
        <v>-204018.41676781094</v>
      </c>
      <c r="F8" s="212">
        <f>'Т 9'!F18*F6-'Т 1'!G17</f>
        <v>-303136.37827885867</v>
      </c>
      <c r="G8" s="212">
        <f>F8</f>
        <v>-303136.37827885867</v>
      </c>
      <c r="H8" s="212">
        <f>'Т 9'!H18*H6-'Т 1'!I17</f>
        <v>-273619.92285743647</v>
      </c>
      <c r="I8" s="212">
        <f>'Т 9'!I18*I6-'Т 1'!J17</f>
        <v>-245783.22719657331</v>
      </c>
      <c r="J8" s="212">
        <f>'Т 9'!J18*J6-'Т 1'!K17</f>
        <v>-219554.59587723319</v>
      </c>
      <c r="K8" s="212">
        <f>'Т 9'!K18*K6-'Т 1'!L17</f>
        <v>-194865.05356941058</v>
      </c>
      <c r="L8" s="212">
        <f>K8</f>
        <v>-194865.05356941058</v>
      </c>
      <c r="M8" s="228" t="str">
        <f t="shared" si="0"/>
        <v>3.</v>
      </c>
      <c r="N8" s="217" t="str">
        <f t="shared" si="0"/>
        <v>Чистый приведенный доход (NPV)</v>
      </c>
      <c r="O8" s="212">
        <f>'Т 9'!O18*O6-'Т 1'!P17</f>
        <v>-171648.24828321458</v>
      </c>
      <c r="P8" s="212">
        <f>'Т 9'!P18*P6-'Т 1'!Q17</f>
        <v>-149840.35792349864</v>
      </c>
      <c r="Q8" s="212">
        <f>'Т 9'!Q18*Q6-'Т 1'!R17</f>
        <v>-129380.00003836857</v>
      </c>
      <c r="R8" s="212">
        <f>'Т 9'!R18*R6-'Т 1'!S17</f>
        <v>-110208.14465546582</v>
      </c>
      <c r="S8" s="212">
        <f>R8</f>
        <v>-110208.14465546582</v>
      </c>
      <c r="T8" s="212">
        <f>'Т 9'!T18*T6-'Т 1'!U17</f>
        <v>-92268.030103378114</v>
      </c>
      <c r="U8" s="212">
        <f>'Т 9'!U18*U6-'Т 1'!V17</f>
        <v>-75505.081718868139</v>
      </c>
      <c r="V8" s="212">
        <f>'Т 9'!V18*V6-'Т 1'!W17</f>
        <v>-59866.833343848062</v>
      </c>
      <c r="W8" s="212">
        <f>'Т 9'!W18*W6-'Т 1'!X17</f>
        <v>-45302.851519156888</v>
      </c>
      <c r="X8" s="212">
        <f>W8</f>
        <v>-45302.851519156888</v>
      </c>
      <c r="Y8" s="228" t="str">
        <f t="shared" si="2"/>
        <v>3.</v>
      </c>
      <c r="Z8" s="217" t="str">
        <f t="shared" si="2"/>
        <v>Чистый приведенный доход (NPV)</v>
      </c>
      <c r="AA8" s="212">
        <f>'Т 9'!AA18*AA6-'Т 1'!AB17</f>
        <v>-31764.662285229249</v>
      </c>
      <c r="AB8" s="212">
        <f>'Т 9'!AB18*AB6-'Т 1'!AC17</f>
        <v>-19205.680502676696</v>
      </c>
      <c r="AC8" s="212">
        <f>'Т 9'!AC18*AC6-'Т 1'!AD17</f>
        <v>-7581.141608642356</v>
      </c>
      <c r="AD8" s="212">
        <f>'Т 9'!AD18*AD6-'Т 1'!AE17</f>
        <v>3151.9642724620644</v>
      </c>
      <c r="AE8" s="250">
        <f>AD8</f>
        <v>3151.9642724620644</v>
      </c>
      <c r="AF8" s="228"/>
      <c r="AG8" s="217"/>
      <c r="AH8" s="212">
        <f>'Т 9'!AF18*AH6-'Т 1'!AG17</f>
        <v>13034.955942569359</v>
      </c>
      <c r="AI8" s="212">
        <f>'Т 9'!AG18*AI6-'Т 1'!AH17</f>
        <v>22107.522544076724</v>
      </c>
      <c r="AJ8" s="212">
        <f>'Т 9'!AH18*AJ6-'Т 1'!AI17</f>
        <v>30407.782848137722</v>
      </c>
      <c r="AK8" s="250">
        <f>'Т 9'!AI18*AK6-'Т 1'!AJ17</f>
        <v>37972.34248838207</v>
      </c>
      <c r="AL8" s="266">
        <f>AK8</f>
        <v>37972.34248838207</v>
      </c>
      <c r="AM8" s="260" t="str">
        <f t="shared" si="4"/>
        <v>3.</v>
      </c>
      <c r="AN8" s="260" t="str">
        <f t="shared" si="5"/>
        <v>Чистый приведенный доход (NPV)</v>
      </c>
      <c r="AO8" s="212">
        <f>'Т 9'!AM18*AO6-'Т 1'!AN17</f>
        <v>44836.349208982021</v>
      </c>
      <c r="AP8" s="212">
        <f>'Т 9'!AN18*AP6-'Т 1'!AO17</f>
        <v>51033.546193728806</v>
      </c>
      <c r="AQ8" s="212">
        <f>'Т 9'!AO18*AQ6-'Т 1'!AP17</f>
        <v>56596.323540593905</v>
      </c>
      <c r="AR8" s="250">
        <f>'Т 9'!AP18*AR6-'Т 1'!AQ17</f>
        <v>61555.767944135761</v>
      </c>
      <c r="AS8" s="255">
        <f>AR8</f>
        <v>61555.767944135761</v>
      </c>
      <c r="AT8" s="212">
        <f>'Т 9'!AR18*AT6-'Т 1'!AS17</f>
        <v>65941.710646064836</v>
      </c>
      <c r="AU8" s="212">
        <f>'Т 9'!AS18*AU6-'Т 1'!AT17</f>
        <v>69782.773712299764</v>
      </c>
      <c r="AV8" s="212">
        <f>'Т 9'!AT18*AV6-'Т 1'!AU17</f>
        <v>73106.414692926221</v>
      </c>
      <c r="AW8" s="250">
        <f>'Т 9'!AU18*AW6-'Т 1'!AV17</f>
        <v>75938.969719621004</v>
      </c>
      <c r="AX8" s="255">
        <f>AW8</f>
        <v>75938.969719621004</v>
      </c>
      <c r="AY8" s="253"/>
    </row>
    <row r="9" spans="1:51" ht="15" customHeight="1">
      <c r="A9" s="230" t="s">
        <v>72</v>
      </c>
      <c r="B9" s="217" t="s">
        <v>322</v>
      </c>
      <c r="C9" s="231">
        <f>IFERROR(('Т 9'!C18*C6)/'Т 1'!$C$14,0)</f>
        <v>0</v>
      </c>
      <c r="D9" s="231">
        <f>IFERROR(('Т 9'!D18*D6)/'Т 1'!$C$14,0)</f>
        <v>0</v>
      </c>
      <c r="E9" s="231">
        <f>IFERROR(('Т 9'!E18*E6)/'Т 1'!$C$14,0)</f>
        <v>0</v>
      </c>
      <c r="F9" s="231">
        <f>IFERROR(('Т 9'!F18*F6)/'Т 1'!$C$14,0)</f>
        <v>0</v>
      </c>
      <c r="G9" s="212">
        <f>IFERROR('Т 9'!G19/'Т 1'!G14*G6,0)</f>
        <v>-5.5699264016913991E-3</v>
      </c>
      <c r="H9" s="231">
        <f>IFERROR(('Т 9'!H18*H6)/'Т 1'!$C$14,0)</f>
        <v>8.9715669973927617E-2</v>
      </c>
      <c r="I9" s="231">
        <f>IFERROR(('Т 9'!I18*I6)/'Т 1'!$C$14,0)</f>
        <v>0.17432568718019867</v>
      </c>
      <c r="J9" s="231">
        <f>IFERROR(('Т 9'!J18*J6)/'Т 1'!$C$14,0)</f>
        <v>0.25404797082560937</v>
      </c>
      <c r="K9" s="231">
        <f>IFERROR(('Т 9'!K18*K6)/'Т 1'!$C$14,0)</f>
        <v>0.32909217236914307</v>
      </c>
      <c r="L9" s="212">
        <f>K9</f>
        <v>0.32909217236914307</v>
      </c>
      <c r="M9" s="228" t="str">
        <f t="shared" si="0"/>
        <v>4.</v>
      </c>
      <c r="N9" s="217" t="str">
        <f t="shared" si="0"/>
        <v>Индекс прибыльности (PI)</v>
      </c>
      <c r="O9" s="231">
        <f>IFERROR(('Т 9'!O18*O6)/'Т 1'!$C$14,0)</f>
        <v>0.39965996959162337</v>
      </c>
      <c r="P9" s="231">
        <f>IFERROR(('Т 9'!P18*P6)/'Т 1'!$C$14,0)</f>
        <v>0.46594535062419462</v>
      </c>
      <c r="Q9" s="231">
        <f>IFERROR(('Т 9'!Q18*Q6)/'Т 1'!$C$14,0)</f>
        <v>0.52813488826896682</v>
      </c>
      <c r="R9" s="231">
        <f>IFERROR(('Т 9'!R18*R6)/'Т 1'!$C$14,0)</f>
        <v>0.58640800493432477</v>
      </c>
      <c r="S9" s="212">
        <f>R9</f>
        <v>0.58640800493432477</v>
      </c>
      <c r="T9" s="231">
        <f>IFERROR(('Т 9'!T18*T6)/'Т 1'!$C$14,0)</f>
        <v>0.64093722849690138</v>
      </c>
      <c r="U9" s="231">
        <f>IFERROR(('Т 9'!U18*U6)/'Т 1'!$C$14,0)</f>
        <v>0.69188843939206846</v>
      </c>
      <c r="V9" s="231">
        <f>IFERROR(('Т 9'!V18*V6)/'Т 1'!$C$14,0)</f>
        <v>0.7394211092249563</v>
      </c>
      <c r="W9" s="231">
        <f>IFERROR(('Т 9'!W18*W6)/'Т 1'!$C$14,0)</f>
        <v>0.78368853118450388</v>
      </c>
      <c r="X9" s="212">
        <f>W9</f>
        <v>0.78368853118450388</v>
      </c>
      <c r="Y9" s="228" t="str">
        <f t="shared" si="2"/>
        <v>4.</v>
      </c>
      <c r="Z9" s="217" t="str">
        <f t="shared" si="2"/>
        <v>Индекс прибыльности (PI)</v>
      </c>
      <c r="AA9" s="231">
        <f>IFERROR(('Т 9'!AA18*AA6)/'Т 1'!$C$14,0)</f>
        <v>0.82483804253382798</v>
      </c>
      <c r="AB9" s="231">
        <f>IFERROR(('Т 9'!AB18*AB6)/'Т 1'!$C$14,0)</f>
        <v>0.86301123944128255</v>
      </c>
      <c r="AC9" s="231">
        <f>IFERROR(('Т 9'!AC18*AC6)/'Т 1'!$C$14,0)</f>
        <v>0.89834418440795227</v>
      </c>
      <c r="AD9" s="231">
        <f>IFERROR(('Т 9'!AD18*AD6)/'Т 1'!$C$14,0)</f>
        <v>0.93096760653896882</v>
      </c>
      <c r="AE9" s="250">
        <f>AD9</f>
        <v>0.93096760653896882</v>
      </c>
      <c r="AF9" s="228"/>
      <c r="AG9" s="217"/>
      <c r="AH9" s="231">
        <f>IFERROR(('Т 9'!AF18*AH6)/'Т 1'!$C$14,0)</f>
        <v>0.96100709489795755</v>
      </c>
      <c r="AI9" s="231">
        <f>IFERROR(('Т 9'!AG18*AI6)/'Т 1'!$C$14,0)</f>
        <v>0.98858328517609539</v>
      </c>
      <c r="AJ9" s="231">
        <f>IFERROR(('Т 9'!AH18*AJ6)/'Т 1'!$C$14,0)</f>
        <v>1.013812039899685</v>
      </c>
      <c r="AK9" s="257">
        <f>IFERROR(('Т 9'!AI18*AK6)/'Т 1'!$C$14,0)</f>
        <v>1.0368046223928289</v>
      </c>
      <c r="AL9" s="266">
        <f>AK9</f>
        <v>1.0368046223928289</v>
      </c>
      <c r="AM9" s="260" t="str">
        <f t="shared" si="4"/>
        <v>4.</v>
      </c>
      <c r="AN9" s="260" t="str">
        <f t="shared" si="5"/>
        <v>Индекс прибыльности (PI)</v>
      </c>
      <c r="AO9" s="231">
        <f>IFERROR(('Т 9'!AM18*AO6)/'Т 1'!$C$14,0)</f>
        <v>1.0576678647046829</v>
      </c>
      <c r="AP9" s="231">
        <f>IFERROR(('Т 9'!AN18*AP6)/'Т 1'!$C$14,0)</f>
        <v>1.0765043297039132</v>
      </c>
      <c r="AQ9" s="231">
        <f>IFERROR(('Т 9'!AO18*AQ6)/'Т 1'!$C$14,0)</f>
        <v>1.0934124675363299</v>
      </c>
      <c r="AR9" s="257">
        <f>IFERROR(('Т 9'!AP18*AR6)/'Т 1'!$C$14,0)</f>
        <v>1.1084867666352414</v>
      </c>
      <c r="AS9" s="255">
        <f>AR9</f>
        <v>1.1084867666352414</v>
      </c>
      <c r="AT9" s="231">
        <f>IFERROR(('Т 9'!AR18*AT6)/'Т 1'!$C$14,0)</f>
        <v>1.1218178994678525</v>
      </c>
      <c r="AU9" s="231">
        <f>IFERROR(('Т 9'!AS18*AU6)/'Т 1'!$C$14,0)</f>
        <v>1.1334928631950105</v>
      </c>
      <c r="AV9" s="231">
        <f>IFERROR(('Т 9'!AT18*AV6)/'Т 1'!$C$14,0)</f>
        <v>1.1435951154157595</v>
      </c>
      <c r="AW9" s="257">
        <f>IFERROR(('Т 9'!AU18*AW6)/'Т 1'!$C$14,0)</f>
        <v>1.1522047051625521</v>
      </c>
      <c r="AX9" s="255">
        <f>AW9</f>
        <v>1.1522047051625521</v>
      </c>
      <c r="AY9" s="254"/>
    </row>
    <row r="10" spans="1:51" ht="15" customHeight="1">
      <c r="A10" s="230" t="s">
        <v>74</v>
      </c>
      <c r="B10" s="217" t="s">
        <v>323</v>
      </c>
      <c r="C10" s="232">
        <f>'Исходные данные'!D113</f>
        <v>0</v>
      </c>
      <c r="D10" s="232">
        <f>'Исходные данные'!E113</f>
        <v>0</v>
      </c>
      <c r="E10" s="232">
        <f>'Исходные данные'!F113</f>
        <v>0</v>
      </c>
      <c r="F10" s="232">
        <f>'Исходные данные'!G113</f>
        <v>0</v>
      </c>
      <c r="G10" s="232">
        <f>'Исходные данные'!D114</f>
        <v>0</v>
      </c>
      <c r="H10" s="232">
        <f>'Исходные данные'!H113</f>
        <v>0</v>
      </c>
      <c r="I10" s="232">
        <f>'Исходные данные'!I113</f>
        <v>0</v>
      </c>
      <c r="J10" s="232">
        <f>'Исходные данные'!J113</f>
        <v>0</v>
      </c>
      <c r="K10" s="232">
        <f>'Исходные данные'!K113</f>
        <v>0</v>
      </c>
      <c r="L10" s="232">
        <f>'Исходные данные'!E114</f>
        <v>0</v>
      </c>
      <c r="M10" s="228" t="str">
        <f t="shared" si="0"/>
        <v>5.</v>
      </c>
      <c r="N10" s="217" t="str">
        <f t="shared" si="0"/>
        <v>Внутренняя норма доходности (IRR)</v>
      </c>
      <c r="O10" s="232">
        <f>'Исходные данные'!L113</f>
        <v>0</v>
      </c>
      <c r="P10" s="232">
        <f>'Исходные данные'!M113</f>
        <v>0</v>
      </c>
      <c r="Q10" s="232">
        <f>'Исходные данные'!N113</f>
        <v>0</v>
      </c>
      <c r="R10" s="232">
        <f>'Исходные данные'!O113</f>
        <v>0</v>
      </c>
      <c r="S10" s="232">
        <f>'Исходные данные'!F114</f>
        <v>-0.37533086443517122</v>
      </c>
      <c r="T10" s="232">
        <f>'Исходные данные'!P113</f>
        <v>0</v>
      </c>
      <c r="U10" s="232">
        <f>'Исходные данные'!Q113</f>
        <v>0</v>
      </c>
      <c r="V10" s="232">
        <f>'Исходные данные'!R113</f>
        <v>0</v>
      </c>
      <c r="W10" s="232">
        <f>'Исходные данные'!S113</f>
        <v>-4.411501405944656E-2</v>
      </c>
      <c r="X10" s="232">
        <f>'Исходные данные'!G114</f>
        <v>-0.1586596359384512</v>
      </c>
      <c r="Y10" s="228" t="str">
        <f t="shared" si="2"/>
        <v>5.</v>
      </c>
      <c r="Z10" s="217" t="str">
        <f t="shared" si="2"/>
        <v>Внутренняя норма доходности (IRR)</v>
      </c>
      <c r="AA10" s="232">
        <f>'Исходные данные'!T113</f>
        <v>-3.2812815752272413E-2</v>
      </c>
      <c r="AB10" s="232">
        <f>'Исходные данные'!U113</f>
        <v>-2.320803477506005E-2</v>
      </c>
      <c r="AC10" s="232">
        <f>'Исходные данные'!V113</f>
        <v>-1.4981161737321893E-2</v>
      </c>
      <c r="AD10" s="232">
        <f>'Исходные данные'!W113</f>
        <v>-7.8844230132633936E-3</v>
      </c>
      <c r="AE10" s="251">
        <f>'Исходные данные'!H114</f>
        <v>-3.006616937899742E-2</v>
      </c>
      <c r="AF10" s="228"/>
      <c r="AG10" s="217"/>
      <c r="AH10" s="232">
        <f>'Исходные данные'!X113</f>
        <v>-1.7233279233946196E-3</v>
      </c>
      <c r="AI10" s="232">
        <f>'Исходные данные'!Y113</f>
        <v>3.6565088699611163E-3</v>
      </c>
      <c r="AJ10" s="232">
        <f>'Исходные данные'!Z113</f>
        <v>8.3789062443407215E-3</v>
      </c>
      <c r="AK10" s="251">
        <f>'Исходные данные'!AA113</f>
        <v>1.254411336119389E-2</v>
      </c>
      <c r="AL10" s="258">
        <f>'Исходные данные'!I114</f>
        <v>4.948130912082286E-2</v>
      </c>
      <c r="AM10" s="260" t="str">
        <f t="shared" si="4"/>
        <v>5.</v>
      </c>
      <c r="AN10" s="260" t="str">
        <f t="shared" si="5"/>
        <v>Внутренняя норма доходности (IRR)</v>
      </c>
      <c r="AO10" s="232">
        <f>'Исходные данные'!AB113</f>
        <v>1.6234006790046756E-2</v>
      </c>
      <c r="AP10" s="232">
        <f>'Исходные данные'!AC113</f>
        <v>1.9515996975821515E-2</v>
      </c>
      <c r="AQ10" s="232">
        <f>'Исходные данные'!AD113</f>
        <v>2.2445997407975305E-2</v>
      </c>
      <c r="AR10" s="251">
        <f>'Исходные данные'!AE113</f>
        <v>2.5070704959193696E-2</v>
      </c>
      <c r="AS10" s="256">
        <f>'Исходные данные'!J114</f>
        <v>0.10101550365227391</v>
      </c>
      <c r="AT10" s="232">
        <f>'Исходные данные'!AF113</f>
        <v>2.7429368276131169E-2</v>
      </c>
      <c r="AU10" s="232">
        <f>'Исходные данные'!AG113</f>
        <v>2.955517164093131E-2</v>
      </c>
      <c r="AV10" s="232">
        <f>'Исходные данные'!AH113</f>
        <v>3.1476327127385635E-2</v>
      </c>
      <c r="AW10" s="232">
        <f>'Исходные данные'!AI113</f>
        <v>3.3216943396133514E-2</v>
      </c>
      <c r="AX10" s="256">
        <f>'Исходные данные'!K114</f>
        <v>0.13574187797663617</v>
      </c>
      <c r="AY10" s="63"/>
    </row>
    <row r="11" spans="1:51" ht="15" customHeight="1">
      <c r="A11" s="230" t="s">
        <v>182</v>
      </c>
      <c r="B11" s="217" t="s">
        <v>324</v>
      </c>
      <c r="C11" s="232">
        <f>IFERROR(C8/'Т 1'!$C$14,0)</f>
        <v>-0.15724860437693952</v>
      </c>
      <c r="D11" s="232">
        <f>IFERROR(D8/'Т 1'!$C$14,0)</f>
        <v>-0.31002275756614023</v>
      </c>
      <c r="E11" s="232">
        <f>IFERROR(E8/'Т 1'!$C$14,0)</f>
        <v>-0.62011676829121865</v>
      </c>
      <c r="F11" s="232">
        <f>IFERROR(F8/'Т 1'!$C$14,0)</f>
        <v>-0.92138716802084697</v>
      </c>
      <c r="G11" s="232">
        <f>IFERROR(G8/'Т 1'!$C$14,0)</f>
        <v>-0.92138716802084697</v>
      </c>
      <c r="H11" s="232">
        <f>IFERROR(H8/'Т 1'!$C$14,0)</f>
        <v>-0.83167149804691931</v>
      </c>
      <c r="I11" s="232">
        <f>IFERROR(I8/'Т 1'!$C$14,0)</f>
        <v>-0.74706148084064838</v>
      </c>
      <c r="J11" s="232">
        <f>IFERROR(J8/'Т 1'!$C$14,0)</f>
        <v>-0.66733919719523771</v>
      </c>
      <c r="K11" s="232">
        <f>IFERROR(K8/'Т 1'!$C$14,0)</f>
        <v>-0.59229499565170385</v>
      </c>
      <c r="L11" s="232">
        <f>IFERROR(L8/'Т 1'!$C$14,0)</f>
        <v>-0.59229499565170385</v>
      </c>
      <c r="M11" s="228" t="str">
        <f t="shared" si="0"/>
        <v>6.</v>
      </c>
      <c r="N11" s="217" t="str">
        <f t="shared" si="0"/>
        <v>Доходность инвестиций (ROI)</v>
      </c>
      <c r="O11" s="232">
        <f>IFERROR(O8/'Т 1'!$C$14,0)</f>
        <v>-0.52172719842922366</v>
      </c>
      <c r="P11" s="232">
        <f>IFERROR(P8/'Т 1'!$C$14,0)</f>
        <v>-0.4554418173966524</v>
      </c>
      <c r="Q11" s="232">
        <f>IFERROR(Q8/'Т 1'!$C$14,0)</f>
        <v>-0.39325227975188015</v>
      </c>
      <c r="R11" s="232">
        <f>IFERROR(R8/'Т 1'!$C$14,0)</f>
        <v>-0.33497916308652226</v>
      </c>
      <c r="S11" s="232">
        <f>IFERROR(S8/'Т 1'!$C$14,0)</f>
        <v>-0.33497916308652226</v>
      </c>
      <c r="T11" s="232">
        <f>IFERROR(T8/'Т 1'!$C$14,0)</f>
        <v>-0.28044993952394565</v>
      </c>
      <c r="U11" s="232">
        <f>IFERROR(U8/'Т 1'!$C$14,0)</f>
        <v>-0.22949872862877854</v>
      </c>
      <c r="V11" s="232">
        <f>IFERROR(V8/'Т 1'!$C$14,0)</f>
        <v>-0.18196605879589076</v>
      </c>
      <c r="W11" s="232">
        <f>IFERROR(W8/'Т 1'!$C$14,0)</f>
        <v>-0.13769863683634312</v>
      </c>
      <c r="X11" s="232">
        <f>IFERROR(X8/'Т 1'!$C$14,0)</f>
        <v>-0.13769863683634312</v>
      </c>
      <c r="Y11" s="228" t="str">
        <f t="shared" si="2"/>
        <v>6.</v>
      </c>
      <c r="Z11" s="217" t="str">
        <f t="shared" si="2"/>
        <v>Доходность инвестиций (ROI)</v>
      </c>
      <c r="AA11" s="232">
        <f>AA8/'Т 1'!$C$14</f>
        <v>-9.6549125487018994E-2</v>
      </c>
      <c r="AB11" s="232">
        <f>AB8/'Т 1'!$C$14</f>
        <v>-5.8375928579564425E-2</v>
      </c>
      <c r="AC11" s="232">
        <f>AC8/'Т 1'!$C$14</f>
        <v>-2.30429836128947E-2</v>
      </c>
      <c r="AD11" s="232">
        <f>AD8/'Т 1'!$C$14</f>
        <v>9.5804385181217765E-3</v>
      </c>
      <c r="AE11" s="251">
        <f>AE8/'Т 1'!$C$14</f>
        <v>9.5804385181217765E-3</v>
      </c>
      <c r="AF11" s="228"/>
      <c r="AG11" s="217"/>
      <c r="AH11" s="232">
        <f>AH8/'Т 1'!$C$14</f>
        <v>3.9619926877110516E-2</v>
      </c>
      <c r="AI11" s="232">
        <f>AI8/'Т 1'!$C$14</f>
        <v>6.7196117155248397E-2</v>
      </c>
      <c r="AJ11" s="232">
        <f>AJ8/'Т 1'!$C$14</f>
        <v>9.2424871878838064E-2</v>
      </c>
      <c r="AK11" s="251">
        <f>AK8/'Т 1'!$C$14</f>
        <v>0.11541745437198198</v>
      </c>
      <c r="AL11" s="258">
        <f>AL8/'Т 1'!$C$14</f>
        <v>0.11541745437198198</v>
      </c>
      <c r="AM11" s="260" t="str">
        <f t="shared" si="4"/>
        <v>6.</v>
      </c>
      <c r="AN11" s="260" t="str">
        <f t="shared" si="5"/>
        <v>Доходность инвестиций (ROI)</v>
      </c>
      <c r="AO11" s="232">
        <f>AO8/'Т 1'!$C$14</f>
        <v>0.13628069668383594</v>
      </c>
      <c r="AP11" s="232">
        <f>AP8/'Т 1'!$C$14</f>
        <v>0.15511716168306627</v>
      </c>
      <c r="AQ11" s="232">
        <f>AQ8/'Т 1'!$C$14</f>
        <v>0.17202529951548298</v>
      </c>
      <c r="AR11" s="251">
        <f>AR8/'Т 1'!$C$14</f>
        <v>0.1870995986143944</v>
      </c>
      <c r="AS11" s="256">
        <f>AS8/'Т 1'!$C$14</f>
        <v>0.1870995986143944</v>
      </c>
      <c r="AT11" s="232">
        <f>AT8/'Т 1'!$C$14</f>
        <v>0.20043073144700557</v>
      </c>
      <c r="AU11" s="232">
        <f>AU8/'Т 1'!$C$14</f>
        <v>0.21210569517416342</v>
      </c>
      <c r="AV11" s="232">
        <f>AV8/'Т 1'!$C$14</f>
        <v>0.22220794739491254</v>
      </c>
      <c r="AW11" s="251">
        <f>AW8/'Т 1'!$C$14</f>
        <v>0.23081753714170516</v>
      </c>
      <c r="AX11" s="256">
        <f>AX8/'Т 1'!$C$14</f>
        <v>0.23081753714170516</v>
      </c>
      <c r="AY11" s="63"/>
    </row>
    <row r="12" spans="1:51" ht="20.7" customHeight="1">
      <c r="A12" s="230" t="s">
        <v>187</v>
      </c>
      <c r="B12" s="217" t="s">
        <v>325</v>
      </c>
      <c r="C12" s="231">
        <f>'Т 9'!C18/'Т 1'!$C$14*C16</f>
        <v>0</v>
      </c>
      <c r="D12" s="231">
        <f>'Т 9'!D18/'Т 1'!$C$14*D16</f>
        <v>0</v>
      </c>
      <c r="E12" s="231">
        <f>'Т 9'!E18/'Т 1'!$C$14*E16</f>
        <v>0</v>
      </c>
      <c r="F12" s="231">
        <f>'Т 9'!F18/'Т 1'!$C$14*F16</f>
        <v>0</v>
      </c>
      <c r="G12" s="231">
        <f>'Т 9'!G18/'Т 1'!$C$14*G16</f>
        <v>0</v>
      </c>
      <c r="H12" s="231">
        <f>'Т 9'!H18/'Т 1'!$C$14*H16</f>
        <v>0.51823039513677815</v>
      </c>
      <c r="I12" s="231">
        <f>'Т 9'!I18/'Т 1'!$C$14*I16</f>
        <v>1.2437529483282674</v>
      </c>
      <c r="J12" s="231">
        <f>'Т 9'!J18/'Т 1'!$C$14*J16</f>
        <v>2.1765676595744679</v>
      </c>
      <c r="K12" s="231">
        <f>'Т 9'!K18/'Т 1'!$C$14*K16</f>
        <v>3.3166745288753798</v>
      </c>
      <c r="L12" s="231">
        <f>'Т 9'!L18/'Т 1'!$C$14*L16</f>
        <v>0</v>
      </c>
      <c r="M12" s="228" t="str">
        <f t="shared" si="0"/>
        <v>7.</v>
      </c>
      <c r="N12" s="217" t="str">
        <f>B12</f>
        <v>Средняя норма рентабельности (ARR)</v>
      </c>
      <c r="O12" s="231">
        <f>'Т 9'!O18/'Т 1'!$C$14*O16</f>
        <v>4.6640735562310027</v>
      </c>
      <c r="P12" s="231">
        <f>'Т 9'!P18/'Т 1'!$C$14*P16</f>
        <v>6.218764741641337</v>
      </c>
      <c r="Q12" s="231">
        <f>'Т 9'!Q18/'Т 1'!$C$14*Q16</f>
        <v>7.9807480851063826</v>
      </c>
      <c r="R12" s="231">
        <f>'Т 9'!R18/'Т 1'!$C$14*R16</f>
        <v>9.9500235866261395</v>
      </c>
      <c r="S12" s="231">
        <f>R12</f>
        <v>9.9500235866261395</v>
      </c>
      <c r="T12" s="231">
        <f>'Т 9'!T18/'Т 1'!$C$14*T16</f>
        <v>12.126591246200606</v>
      </c>
      <c r="U12" s="231">
        <f>'Т 9'!U18/'Т 1'!$C$14*U16</f>
        <v>14.510451063829786</v>
      </c>
      <c r="V12" s="231">
        <f>'Т 9'!V18/'Т 1'!$C$14*V16</f>
        <v>17.101603039513677</v>
      </c>
      <c r="W12" s="231">
        <f>'Т 9'!W18/'Т 1'!$C$14*W16</f>
        <v>19.900047173252279</v>
      </c>
      <c r="X12" s="212">
        <f>W12</f>
        <v>19.900047173252279</v>
      </c>
      <c r="Y12" s="228" t="str">
        <f t="shared" si="2"/>
        <v>7.</v>
      </c>
      <c r="Z12" s="217" t="str">
        <f>N12</f>
        <v>Средняя норма рентабельности (ARR)</v>
      </c>
      <c r="AA12" s="231">
        <f>'Т 9'!AA18/'Т 1'!$C$14*AA16</f>
        <v>22.905783465045594</v>
      </c>
      <c r="AB12" s="231">
        <f>'Т 9'!AB18/'Т 1'!$C$14*AB16</f>
        <v>26.118811914893612</v>
      </c>
      <c r="AC12" s="231">
        <f>'Т 9'!AC18/'Т 1'!$C$14*AC16</f>
        <v>29.539132522796351</v>
      </c>
      <c r="AD12" s="231">
        <f>'Т 9'!AD18/'Т 1'!$C$14*AD16</f>
        <v>33.166745288753802</v>
      </c>
      <c r="AE12" s="250">
        <f>AD12</f>
        <v>33.166745288753802</v>
      </c>
      <c r="AF12" s="218"/>
      <c r="AG12" s="217"/>
      <c r="AH12" s="231">
        <f>'Т 9'!AF18/'Т 1'!$C$14*AH16</f>
        <v>37.001650212765959</v>
      </c>
      <c r="AI12" s="231">
        <f>'Т 9'!AG18/'Т 1'!$C$14*AI16</f>
        <v>41.04384729483283</v>
      </c>
      <c r="AJ12" s="231">
        <f>'Т 9'!AH18/'Т 1'!$C$14*AJ16</f>
        <v>45.293336534954413</v>
      </c>
      <c r="AK12" s="257">
        <f>'Т 9'!AI18/'Т 1'!$C$14*AK16</f>
        <v>49.75011793313071</v>
      </c>
      <c r="AL12" s="266">
        <f>AK12</f>
        <v>49.75011793313071</v>
      </c>
      <c r="AM12" s="260" t="str">
        <f t="shared" si="4"/>
        <v>7.</v>
      </c>
      <c r="AN12" s="260" t="str">
        <f t="shared" si="5"/>
        <v>Средняя норма рентабельности (ARR)</v>
      </c>
      <c r="AO12" s="231">
        <f>'Т 9'!AM18/'Т 1'!$C$14*AO16</f>
        <v>54.41419148936172</v>
      </c>
      <c r="AP12" s="231">
        <f>'Т 9'!AN18/'Т 1'!$C$14*AP16</f>
        <v>59.285557203647436</v>
      </c>
      <c r="AQ12" s="231">
        <f>'Т 9'!AO18/'Т 1'!$C$14*AQ16</f>
        <v>64.364215075987872</v>
      </c>
      <c r="AR12" s="257">
        <f>'Т 9'!AP18/'Т 1'!$C$14*AR16</f>
        <v>69.650165106383014</v>
      </c>
      <c r="AS12" s="255">
        <f>AR12</f>
        <v>69.650165106383014</v>
      </c>
      <c r="AT12" s="231">
        <f>'Т 9'!AR18/'Т 1'!$C$14*AT16</f>
        <v>75.143407294832869</v>
      </c>
      <c r="AU12" s="231">
        <f>'Т 9'!AS18/'Т 1'!$C$14*AU16</f>
        <v>80.843941641337437</v>
      </c>
      <c r="AV12" s="231">
        <f>'Т 9'!AT18/'Т 1'!$C$14*AV16</f>
        <v>86.751768145896719</v>
      </c>
      <c r="AW12" s="257">
        <f>'Т 9'!AU18/'Т 1'!$C$14*AW16</f>
        <v>92.866886808510699</v>
      </c>
      <c r="AX12" s="255">
        <f>AW12</f>
        <v>92.866886808510699</v>
      </c>
      <c r="AY12" s="63"/>
    </row>
    <row r="13" spans="1:51" ht="20.7" customHeight="1">
      <c r="A13" s="230" t="s">
        <v>190</v>
      </c>
      <c r="B13" s="217" t="s">
        <v>326</v>
      </c>
      <c r="C13" s="212">
        <f>IFERROR(('Т 3'!D56*'Т 6'!C17)/('Т 3'!D56-'Т 6'!C6),0)</f>
        <v>0</v>
      </c>
      <c r="D13" s="212">
        <f>IFERROR(('Т 3'!E56*'Т 6'!D17)/('Т 3'!E56-'Т 6'!D6),0)</f>
        <v>0</v>
      </c>
      <c r="E13" s="212">
        <f>IFERROR(('Т 3'!F56*'Т 6'!E17)/('Т 3'!F56-'Т 6'!E6),0)</f>
        <v>0</v>
      </c>
      <c r="F13" s="212">
        <f>IFERROR(('Т 3'!G56*'Т 6'!F17)/('Т 3'!G56-'Т 6'!F6),0)</f>
        <v>0</v>
      </c>
      <c r="G13" s="212">
        <f>IFERROR(('Т 3'!H56*'Т 6'!G17)/('Т 3'!H56-'Т 6'!G6),0)</f>
        <v>0</v>
      </c>
      <c r="H13" s="212">
        <f>IFERROR(('Т 3'!I56*'Т 6'!H17)/('Т 3'!I56-'Т 6'!H6),0)</f>
        <v>16438.30024919632</v>
      </c>
      <c r="I13" s="212">
        <f>IFERROR(('Т 3'!J56*'Т 6'!I17)/('Т 3'!J56-'Т 6'!I6),0)</f>
        <v>16438.30024919632</v>
      </c>
      <c r="J13" s="212">
        <f>IFERROR(('Т 3'!K56*'Т 6'!J17)/('Т 3'!K56-'Т 6'!J6),0)</f>
        <v>16438.30024919632</v>
      </c>
      <c r="K13" s="212">
        <f>IFERROR(('Т 3'!L56*'Т 6'!K17)/('Т 3'!L56-'Т 6'!K6),0)</f>
        <v>16438.30024919632</v>
      </c>
      <c r="L13" s="212">
        <f>IFERROR(('Т 3'!M56*'Т 6'!L17)/('Т 3'!M56-'Т 6'!L6),0)</f>
        <v>65753.200996785279</v>
      </c>
      <c r="M13" s="228" t="str">
        <f>A13</f>
        <v>8.</v>
      </c>
      <c r="N13" s="217" t="str">
        <f>B13</f>
        <v>Обобщенная точка безубыточности для всех видов продукции</v>
      </c>
      <c r="O13" s="212">
        <f>IFERROR(('Т 3'!Q56*'Т 6'!O17)/('Т 3'!Q56-'Т 6'!O6),0)</f>
        <v>16438.30024919632</v>
      </c>
      <c r="P13" s="212">
        <f>IFERROR(('Т 3'!R56*'Т 6'!P17)/('Т 3'!R56-'Т 6'!P6),0)</f>
        <v>16438.30024919632</v>
      </c>
      <c r="Q13" s="212">
        <f>IFERROR(('Т 3'!S56*'Т 6'!Q17)/('Т 3'!S56-'Т 6'!Q6),0)</f>
        <v>16438.30024919632</v>
      </c>
      <c r="R13" s="212">
        <f>IFERROR(('Т 3'!T56*'Т 6'!R17)/('Т 3'!T56-'Т 6'!R6),0)</f>
        <v>16438.30024919632</v>
      </c>
      <c r="S13" s="212">
        <f>IFERROR(('Т 3'!U56*'Т 6'!S17)/('Т 3'!U56-'Т 6'!S6),0)</f>
        <v>65753.200996785279</v>
      </c>
      <c r="T13" s="212">
        <f>IFERROR(('Т 3'!V56*'Т 6'!T17)/('Т 3'!V56-'Т 6'!T6),0)</f>
        <v>16438.30024919632</v>
      </c>
      <c r="U13" s="212">
        <f>IFERROR(('Т 3'!W56*'Т 6'!U17)/('Т 3'!W56-'Т 6'!U6),0)</f>
        <v>16438.30024919632</v>
      </c>
      <c r="V13" s="212">
        <f>IFERROR(('Т 3'!X56*'Т 6'!V17)/('Т 3'!X56-'Т 6'!V6),0)</f>
        <v>16438.30024919632</v>
      </c>
      <c r="W13" s="212">
        <f>IFERROR(('Т 3'!Y56*'Т 6'!W17)/('Т 3'!Y56-'Т 6'!W6),0)</f>
        <v>16438.30024919632</v>
      </c>
      <c r="X13" s="212">
        <f>IFERROR(('Т 3'!Z56*'Т 6'!X17)/('Т 3'!Z56-'Т 6'!X6),0)</f>
        <v>65753.200996785279</v>
      </c>
      <c r="Y13" s="228" t="str">
        <f>M13</f>
        <v>8.</v>
      </c>
      <c r="Z13" s="217" t="str">
        <f>N13</f>
        <v>Обобщенная точка безубыточности для всех видов продукции</v>
      </c>
      <c r="AA13" s="212">
        <f>IFERROR(('Т 3'!AD56*'Т 6'!AA17)/('Т 3'!AD56-'Т 6'!AA6),0)</f>
        <v>16438.30024919632</v>
      </c>
      <c r="AB13" s="212">
        <f>IFERROR(('Т 3'!AE56*'Т 6'!AB17)/('Т 3'!AE56-'Т 6'!AB6),0)</f>
        <v>16438.30024919632</v>
      </c>
      <c r="AC13" s="212">
        <f>IFERROR(('Т 3'!AF56*'Т 6'!AC17)/('Т 3'!AF56-'Т 6'!AC6),0)</f>
        <v>16438.30024919632</v>
      </c>
      <c r="AD13" s="212">
        <f>IFERROR(('Т 3'!AG56*'Т 6'!AD17)/('Т 3'!AG56-'Т 6'!AD6),0)</f>
        <v>16438.30024919632</v>
      </c>
      <c r="AE13" s="250">
        <f>IFERROR(('Т 3'!AH56*'Т 6'!AE17)/('Т 3'!AH56-'Т 6'!AE6),0)</f>
        <v>65753.200996785279</v>
      </c>
      <c r="AF13" s="228"/>
      <c r="AG13" s="217"/>
      <c r="AH13" s="212">
        <f>IFERROR(('Т 3'!AI56*'Т 6'!AF17)/('Т 3'!AI56-'Т 6'!AF6),0)</f>
        <v>16438.30024919632</v>
      </c>
      <c r="AI13" s="212">
        <f>IFERROR(('Т 3'!AJ56*'Т 6'!AG17)/('Т 3'!AJ56-'Т 6'!AG6),0)</f>
        <v>16438.30024919632</v>
      </c>
      <c r="AJ13" s="212">
        <f>IFERROR(('Т 3'!AK56*'Т 6'!AH17)/('Т 3'!AK56-'Т 6'!AH6),0)</f>
        <v>16438.30024919632</v>
      </c>
      <c r="AK13" s="250">
        <f>IFERROR(('Т 3'!AI56*'Т 6'!AI17)/('Т 3'!AI56-'Т 6'!AI6),0)</f>
        <v>16438.30024919632</v>
      </c>
      <c r="AL13" s="266">
        <f>IFERROR(('Т 3'!AM56*'Т 6'!AJ17)/('Т 3'!AM56-'Т 6'!AJ6),0)</f>
        <v>65753.200996785279</v>
      </c>
      <c r="AM13" s="260" t="str">
        <f t="shared" si="4"/>
        <v>8.</v>
      </c>
      <c r="AN13" s="260" t="str">
        <f t="shared" si="5"/>
        <v>Обобщенная точка безубыточности для всех видов продукции</v>
      </c>
      <c r="AO13" s="212">
        <f>IFERROR(('Т 3'!AQ56*'Т 6'!AM17)/('Т 3'!AQ56-'Т 6'!AM6),0)</f>
        <v>16438.30024919632</v>
      </c>
      <c r="AP13" s="212">
        <f>IFERROR(('Т 3'!AR56*'Т 6'!AN17)/('Т 3'!AR56-'Т 6'!AN6),0)</f>
        <v>16438.30024919632</v>
      </c>
      <c r="AQ13" s="212">
        <f>IFERROR(('Т 3'!AS56*'Т 6'!AO17)/('Т 3'!AS56-'Т 6'!AO6),0)</f>
        <v>16438.30024919632</v>
      </c>
      <c r="AR13" s="250">
        <f>IFERROR(('Т 3'!AT56*'Т 6'!AP17)/('Т 3'!AT56-'Т 6'!AP6),0)</f>
        <v>16438.30024919632</v>
      </c>
      <c r="AS13" s="255">
        <f>IFERROR(('Т 3'!AU56*'Т 6'!AQ17)/('Т 3'!AU56-'Т 6'!AQ6),0)</f>
        <v>65753.200996785279</v>
      </c>
      <c r="AT13" s="212">
        <f>IFERROR(('Т 3'!AV56*'Т 6'!AR17)/('Т 3'!AV56-'Т 6'!AR6),0)</f>
        <v>16438.30024919632</v>
      </c>
      <c r="AU13" s="212">
        <f>IFERROR(('Т 3'!AW56*'Т 6'!AS17)/('Т 3'!AW56-'Т 6'!AS6),0)</f>
        <v>16438.30024919632</v>
      </c>
      <c r="AV13" s="212">
        <f>IFERROR(('Т 3'!AX56*'Т 6'!AT17)/('Т 3'!AX56-'Т 6'!AT6),0)</f>
        <v>16438.30024919632</v>
      </c>
      <c r="AW13" s="212">
        <f>IFERROR(('Т 3'!AY56*'Т 6'!AU17)/('Т 3'!AY56-'Т 6'!AU6),0)</f>
        <v>16438.30024919632</v>
      </c>
      <c r="AX13" s="255">
        <f>IFERROR(('Т 3'!AZ56*'Т 6'!AV17)/('Т 3'!AZ56-'Т 6'!AV6),0)</f>
        <v>65753.200996785279</v>
      </c>
      <c r="AY13" s="63"/>
    </row>
    <row r="14" spans="1:51" ht="20.7" customHeight="1">
      <c r="A14" s="230" t="s">
        <v>193</v>
      </c>
      <c r="B14" s="217" t="s">
        <v>327</v>
      </c>
      <c r="C14" s="232" t="e">
        <f>C13/'Т 9'!C6</f>
        <v>#DIV/0!</v>
      </c>
      <c r="D14" s="232" t="e">
        <f>D13/'Т 9'!D6</f>
        <v>#DIV/0!</v>
      </c>
      <c r="E14" s="232" t="e">
        <f>E13/'Т 9'!E6</f>
        <v>#DIV/0!</v>
      </c>
      <c r="F14" s="232" t="e">
        <f>F13/'Т 9'!F6</f>
        <v>#DIV/0!</v>
      </c>
      <c r="G14" s="232">
        <f>0</f>
        <v>0</v>
      </c>
      <c r="H14" s="232">
        <f>H13/'Т 9'!H6</f>
        <v>0.27606980130989384</v>
      </c>
      <c r="I14" s="232">
        <f>I13/'Т 9'!I6</f>
        <v>0.27606980130989384</v>
      </c>
      <c r="J14" s="232">
        <f>J13/'Т 9'!J6</f>
        <v>0.27606980130989384</v>
      </c>
      <c r="K14" s="232">
        <f>K13/'Т 9'!K6</f>
        <v>0.27606980130989384</v>
      </c>
      <c r="L14" s="232">
        <f>L13/'Т 9'!L6</f>
        <v>0.27606980130989384</v>
      </c>
      <c r="M14" s="233" t="str">
        <f>A14</f>
        <v>9.</v>
      </c>
      <c r="N14" s="217" t="str">
        <f>B14</f>
        <v>Объем продаж, соответствующий точке безубыточности, %</v>
      </c>
      <c r="O14" s="232">
        <f>O13/'Т 9'!O6</f>
        <v>0.27606980130989384</v>
      </c>
      <c r="P14" s="232">
        <f>P13/'Т 9'!P6</f>
        <v>0.27606980130989384</v>
      </c>
      <c r="Q14" s="232">
        <f>Q13/'Т 9'!Q6</f>
        <v>0.27606980130989384</v>
      </c>
      <c r="R14" s="232">
        <f>R13/'Т 9'!R6</f>
        <v>0.27606980130989384</v>
      </c>
      <c r="S14" s="232">
        <f>S13/'Т 9'!S6</f>
        <v>0.27606980130989384</v>
      </c>
      <c r="T14" s="232">
        <f>T13/'Т 9'!T6</f>
        <v>0.27606980130989384</v>
      </c>
      <c r="U14" s="232">
        <f>U13/'Т 9'!U6</f>
        <v>0.27606980130989384</v>
      </c>
      <c r="V14" s="232">
        <f>V13/'Т 9'!V6</f>
        <v>0.27606980130989384</v>
      </c>
      <c r="W14" s="232">
        <f>W13/'Т 9'!W6</f>
        <v>0.27606980130989384</v>
      </c>
      <c r="X14" s="232">
        <f>X13/'Т 9'!X6</f>
        <v>0.27606980130989384</v>
      </c>
      <c r="Y14" s="233" t="str">
        <f>M14</f>
        <v>9.</v>
      </c>
      <c r="Z14" s="217" t="str">
        <f>N14</f>
        <v>Объем продаж, соответствующий точке безубыточности, %</v>
      </c>
      <c r="AA14" s="232">
        <f>AA13/'Т 9'!AA6</f>
        <v>0.27606980130989384</v>
      </c>
      <c r="AB14" s="232">
        <f>AB13/'Т 9'!AB6</f>
        <v>0.27606980130989384</v>
      </c>
      <c r="AC14" s="232">
        <f>AC13/'Т 9'!AC6</f>
        <v>0.27606980130989384</v>
      </c>
      <c r="AD14" s="232">
        <f>AD13/'Т 9'!AD6</f>
        <v>0.27606980130989384</v>
      </c>
      <c r="AE14" s="232">
        <f>AE13/'Т 9'!AE6</f>
        <v>0.27606980130989384</v>
      </c>
      <c r="AF14" s="233"/>
      <c r="AG14" s="217"/>
      <c r="AH14" s="256">
        <f>AH13/'Т 9'!AF6</f>
        <v>0.27606980130989384</v>
      </c>
      <c r="AI14" s="256">
        <f>AI13/'Т 9'!AG6</f>
        <v>0.27606980130989384</v>
      </c>
      <c r="AJ14" s="256">
        <f>AJ13/'Т 9'!AH6</f>
        <v>0.27606980130989384</v>
      </c>
      <c r="AK14" s="258">
        <f>AK13/'Т 9'!AI6</f>
        <v>0.27606980130989384</v>
      </c>
      <c r="AL14" s="258">
        <f>AL13/'Т 9'!AJ6</f>
        <v>0.27606980130989384</v>
      </c>
      <c r="AM14" s="260" t="str">
        <f t="shared" si="4"/>
        <v>9.</v>
      </c>
      <c r="AN14" s="260" t="str">
        <f t="shared" si="5"/>
        <v>Объем продаж, соответствующий точке безубыточности, %</v>
      </c>
      <c r="AO14" s="256">
        <f>AO13/'Т 9'!AM6</f>
        <v>0.27606980130989384</v>
      </c>
      <c r="AP14" s="256">
        <f>AP13/'Т 9'!AN6</f>
        <v>0.27606980130989384</v>
      </c>
      <c r="AQ14" s="256">
        <f>AQ13/'Т 9'!AO6</f>
        <v>0.27606980130989384</v>
      </c>
      <c r="AR14" s="258">
        <f>AR13/'Т 9'!AP6</f>
        <v>0.27606980130989384</v>
      </c>
      <c r="AS14" s="256">
        <f>AS13/'Т 9'!AQ6</f>
        <v>0.27606980130989384</v>
      </c>
      <c r="AT14" s="256">
        <f>AT13/'Т 9'!AR6</f>
        <v>0.27606980130989384</v>
      </c>
      <c r="AU14" s="256">
        <f>AU13/'Т 9'!AS6</f>
        <v>0.27606980130989384</v>
      </c>
      <c r="AV14" s="256">
        <f>AV13/'Т 9'!AT6</f>
        <v>0.27606980130989384</v>
      </c>
      <c r="AW14" s="256">
        <f>AW13/'Т 9'!AU6</f>
        <v>0.27606980130989384</v>
      </c>
      <c r="AX14" s="256">
        <f>AX13/'Т 9'!AV6</f>
        <v>0.27606980130989384</v>
      </c>
      <c r="AY14" s="63"/>
    </row>
    <row r="15" spans="1:51" ht="1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35">
        <v>1</v>
      </c>
      <c r="M15" s="2"/>
      <c r="N15" s="18"/>
      <c r="O15" s="18"/>
      <c r="P15" s="18"/>
      <c r="Q15" s="18"/>
      <c r="R15" s="18"/>
      <c r="S15" s="35">
        <v>2</v>
      </c>
      <c r="T15" s="18"/>
      <c r="U15" s="18"/>
      <c r="V15" s="18"/>
      <c r="W15" s="18"/>
      <c r="X15" s="35">
        <v>3</v>
      </c>
      <c r="Y15" s="2"/>
      <c r="Z15" s="18"/>
      <c r="AA15" s="18"/>
      <c r="AB15" s="18"/>
      <c r="AC15" s="18"/>
      <c r="AD15" s="18"/>
      <c r="AE15" s="35">
        <v>4</v>
      </c>
      <c r="AF15" s="195"/>
      <c r="AG15" s="195"/>
      <c r="AH15" s="195"/>
      <c r="AI15" s="195"/>
      <c r="AJ15" s="195"/>
      <c r="AK15" s="195"/>
      <c r="AL15" s="267">
        <v>5</v>
      </c>
      <c r="AM15" s="268"/>
      <c r="AN15" s="268"/>
      <c r="AO15" s="268"/>
      <c r="AP15" s="268"/>
      <c r="AQ15" s="268"/>
      <c r="AR15" s="268"/>
      <c r="AS15" s="268">
        <v>6</v>
      </c>
      <c r="AT15" s="273"/>
      <c r="AU15" s="273"/>
      <c r="AV15" s="273"/>
      <c r="AW15" s="273"/>
      <c r="AX15" s="273">
        <v>7</v>
      </c>
      <c r="AY15" s="63"/>
    </row>
    <row r="16" spans="1:51" ht="15" customHeight="1">
      <c r="A16" s="2"/>
      <c r="B16" s="2"/>
      <c r="C16" s="39">
        <v>1</v>
      </c>
      <c r="D16" s="39">
        <f>C16+1</f>
        <v>2</v>
      </c>
      <c r="E16" s="39">
        <f>D16+1</f>
        <v>3</v>
      </c>
      <c r="F16" s="39">
        <f>E16+1</f>
        <v>4</v>
      </c>
      <c r="G16" s="2"/>
      <c r="H16" s="39">
        <f>IF(F16&gt;0,F16+1,1)</f>
        <v>5</v>
      </c>
      <c r="I16" s="39">
        <f>H16+1</f>
        <v>6</v>
      </c>
      <c r="J16" s="39">
        <f>I16+1</f>
        <v>7</v>
      </c>
      <c r="K16" s="39">
        <f>J16+1</f>
        <v>8</v>
      </c>
      <c r="L16" s="2"/>
      <c r="M16" s="2"/>
      <c r="N16" s="2"/>
      <c r="O16" s="39">
        <f>K16+1</f>
        <v>9</v>
      </c>
      <c r="P16" s="39">
        <f>O16+1</f>
        <v>10</v>
      </c>
      <c r="Q16" s="39">
        <f>P16+1</f>
        <v>11</v>
      </c>
      <c r="R16" s="39">
        <f>Q16+1</f>
        <v>12</v>
      </c>
      <c r="S16" s="2"/>
      <c r="T16" s="39">
        <f>R16+1</f>
        <v>13</v>
      </c>
      <c r="U16" s="39">
        <f>T16+1</f>
        <v>14</v>
      </c>
      <c r="V16" s="39">
        <f>U16+1</f>
        <v>15</v>
      </c>
      <c r="W16" s="39">
        <f>V16+1</f>
        <v>16</v>
      </c>
      <c r="X16" s="2"/>
      <c r="Y16" s="2"/>
      <c r="Z16" s="2"/>
      <c r="AA16" s="39">
        <f>W16+1</f>
        <v>17</v>
      </c>
      <c r="AB16" s="39">
        <f>AA16+1</f>
        <v>18</v>
      </c>
      <c r="AC16" s="39">
        <f>AB16+1</f>
        <v>19</v>
      </c>
      <c r="AD16" s="39">
        <f>AC16+1</f>
        <v>20</v>
      </c>
      <c r="AE16" s="2"/>
      <c r="AF16" s="2"/>
      <c r="AG16" s="2"/>
      <c r="AH16" s="39">
        <f>AD16+1</f>
        <v>21</v>
      </c>
      <c r="AI16" s="39">
        <f>AH16+1</f>
        <v>22</v>
      </c>
      <c r="AJ16" s="39">
        <f>AI16+1</f>
        <v>23</v>
      </c>
      <c r="AK16" s="39">
        <f>AJ16+1</f>
        <v>24</v>
      </c>
      <c r="AL16" s="2"/>
      <c r="AM16" s="65"/>
      <c r="AN16" s="65"/>
      <c r="AO16" s="39">
        <f>AK16+1</f>
        <v>25</v>
      </c>
      <c r="AP16" s="39">
        <f>AO16+1</f>
        <v>26</v>
      </c>
      <c r="AQ16" s="39">
        <f>AP16+1</f>
        <v>27</v>
      </c>
      <c r="AR16" s="39">
        <f>AQ16+1</f>
        <v>28</v>
      </c>
      <c r="AS16" s="65"/>
      <c r="AT16" s="39">
        <f>AR16+1</f>
        <v>29</v>
      </c>
      <c r="AU16" s="39">
        <f>AT16+1</f>
        <v>30</v>
      </c>
      <c r="AV16" s="39">
        <f>AU16+1</f>
        <v>31</v>
      </c>
      <c r="AW16" s="39">
        <f>AV16+1</f>
        <v>32</v>
      </c>
      <c r="AX16" s="65"/>
      <c r="AY16" s="2"/>
    </row>
  </sheetData>
  <mergeCells count="28">
    <mergeCell ref="AM1:AS1"/>
    <mergeCell ref="AM2:AS2"/>
    <mergeCell ref="AT3:AX3"/>
    <mergeCell ref="AO3:AS3"/>
    <mergeCell ref="AN3:AN4"/>
    <mergeCell ref="AM3:AM4"/>
    <mergeCell ref="H3:L3"/>
    <mergeCell ref="M3:M4"/>
    <mergeCell ref="N3:N4"/>
    <mergeCell ref="A1:L1"/>
    <mergeCell ref="M1:X1"/>
    <mergeCell ref="A2:L2"/>
    <mergeCell ref="A3:A4"/>
    <mergeCell ref="B3:B4"/>
    <mergeCell ref="C3:G3"/>
    <mergeCell ref="Y1:AE1"/>
    <mergeCell ref="O3:S3"/>
    <mergeCell ref="T3:X3"/>
    <mergeCell ref="Y3:Y4"/>
    <mergeCell ref="Z3:Z4"/>
    <mergeCell ref="AA3:AE3"/>
    <mergeCell ref="M2:X2"/>
    <mergeCell ref="Y2:AE2"/>
    <mergeCell ref="AG3:AG4"/>
    <mergeCell ref="AF1:AL1"/>
    <mergeCell ref="AF2:AL2"/>
    <mergeCell ref="AF3:AF4"/>
    <mergeCell ref="AH3:AL3"/>
  </mergeCells>
  <pageMargins left="0.78740200000000005" right="0.78740200000000005" top="1.1811" bottom="0.59055100000000005" header="0.51181100000000002" footer="0.51181100000000002"/>
  <pageSetup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showGridLines="0" workbookViewId="0">
      <selection activeCell="I17" sqref="I17"/>
    </sheetView>
  </sheetViews>
  <sheetFormatPr defaultColWidth="9" defaultRowHeight="13.2" customHeight="1"/>
  <cols>
    <col min="1" max="1" width="4.5546875" style="69" customWidth="1"/>
    <col min="2" max="2" width="28.88671875" style="69" customWidth="1"/>
    <col min="3" max="3" width="10.5546875" style="69" customWidth="1"/>
    <col min="4" max="5" width="9" style="69" customWidth="1"/>
    <col min="6" max="7" width="11.109375" style="69" customWidth="1"/>
    <col min="8" max="8" width="10.109375" style="69" customWidth="1"/>
    <col min="9" max="9" width="12.109375" style="69" customWidth="1"/>
    <col min="10" max="10" width="11.44140625" style="69" customWidth="1"/>
    <col min="11" max="11" width="11.88671875" style="69" customWidth="1"/>
    <col min="12" max="12" width="10.5546875" style="69" customWidth="1"/>
    <col min="13" max="13" width="10.88671875" style="69" customWidth="1"/>
    <col min="14" max="14" width="4.5546875" style="69" customWidth="1"/>
    <col min="15" max="15" width="28.109375" style="69" customWidth="1"/>
    <col min="16" max="17" width="9.44140625" style="69" customWidth="1"/>
    <col min="18" max="19" width="9" style="69" customWidth="1"/>
    <col min="20" max="20" width="10.88671875" style="69" customWidth="1"/>
    <col min="21" max="22" width="9.44140625" style="69" customWidth="1"/>
    <col min="23" max="24" width="9.109375" style="69" customWidth="1"/>
    <col min="25" max="25" width="10.88671875" style="69" customWidth="1"/>
    <col min="26" max="26" width="4.5546875" style="69" customWidth="1"/>
    <col min="27" max="27" width="26.5546875" style="69" customWidth="1"/>
    <col min="28" max="37" width="9" style="69" customWidth="1"/>
    <col min="38" max="38" width="4.5546875" style="69" customWidth="1"/>
    <col min="39" max="39" width="26.5546875" style="69" customWidth="1"/>
    <col min="40" max="49" width="9" style="69" customWidth="1"/>
    <col min="50" max="50" width="4.5546875" style="69" customWidth="1"/>
    <col min="51" max="51" width="26.5546875" style="69" customWidth="1"/>
    <col min="52" max="256" width="9" style="69" customWidth="1"/>
  </cols>
  <sheetData>
    <row r="1" spans="1:61" ht="13.5" customHeight="1">
      <c r="A1" s="285" t="s">
        <v>49</v>
      </c>
      <c r="B1" s="286"/>
      <c r="C1" s="286"/>
      <c r="D1" s="287"/>
      <c r="E1" s="287"/>
      <c r="F1" s="286"/>
      <c r="G1" s="286"/>
      <c r="H1" s="286"/>
      <c r="I1" s="286"/>
      <c r="J1" s="286"/>
      <c r="K1" s="286"/>
      <c r="L1" s="286"/>
      <c r="M1" s="286"/>
      <c r="N1" s="285" t="s">
        <v>50</v>
      </c>
      <c r="O1" s="286"/>
      <c r="P1" s="286"/>
      <c r="Q1" s="286"/>
      <c r="R1" s="287"/>
      <c r="S1" s="287"/>
      <c r="T1" s="286"/>
      <c r="U1" s="286"/>
      <c r="V1" s="286"/>
      <c r="W1" s="286"/>
      <c r="X1" s="286"/>
      <c r="Y1" s="286"/>
      <c r="Z1" s="285" t="s">
        <v>50</v>
      </c>
      <c r="AA1" s="286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5" t="s">
        <v>50</v>
      </c>
      <c r="AM1" s="286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5" t="s">
        <v>51</v>
      </c>
      <c r="AY1" s="286"/>
      <c r="AZ1" s="287"/>
      <c r="BA1" s="287"/>
      <c r="BB1" s="287"/>
      <c r="BC1" s="287"/>
      <c r="BD1" s="287"/>
      <c r="BE1" s="287"/>
      <c r="BF1" s="287"/>
      <c r="BG1" s="287"/>
      <c r="BH1" s="287"/>
      <c r="BI1" s="287"/>
    </row>
    <row r="2" spans="1:61" ht="13.5" customHeight="1">
      <c r="A2" s="288" t="s">
        <v>52</v>
      </c>
      <c r="B2" s="289"/>
      <c r="C2" s="289"/>
      <c r="D2" s="290"/>
      <c r="E2" s="290"/>
      <c r="F2" s="289"/>
      <c r="G2" s="289"/>
      <c r="H2" s="289"/>
      <c r="I2" s="289"/>
      <c r="J2" s="289"/>
      <c r="K2" s="289"/>
      <c r="L2" s="289"/>
      <c r="M2" s="289"/>
      <c r="N2" s="70"/>
      <c r="O2" s="70"/>
      <c r="P2" s="70"/>
      <c r="Q2" s="70"/>
      <c r="R2" s="71"/>
      <c r="S2" s="71"/>
      <c r="T2" s="70"/>
      <c r="U2" s="70"/>
      <c r="V2" s="70"/>
      <c r="W2" s="70"/>
      <c r="X2" s="70"/>
      <c r="Y2" s="70"/>
      <c r="Z2" s="70"/>
      <c r="AA2" s="70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0"/>
      <c r="AM2" s="70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0"/>
      <c r="AY2" s="70"/>
      <c r="AZ2" s="71"/>
      <c r="BA2" s="71"/>
      <c r="BB2" s="71"/>
      <c r="BC2" s="71"/>
      <c r="BD2" s="71"/>
      <c r="BE2" s="71"/>
      <c r="BF2" s="71"/>
      <c r="BG2" s="71"/>
      <c r="BH2" s="71"/>
      <c r="BI2" s="71"/>
    </row>
    <row r="3" spans="1:61" ht="13.5" customHeight="1">
      <c r="A3" s="293" t="s">
        <v>53</v>
      </c>
      <c r="B3" s="293" t="s">
        <v>54</v>
      </c>
      <c r="C3" s="293" t="s">
        <v>55</v>
      </c>
      <c r="D3" s="298" t="s">
        <v>56</v>
      </c>
      <c r="E3" s="299"/>
      <c r="F3" s="299"/>
      <c r="G3" s="299"/>
      <c r="H3" s="299"/>
      <c r="I3" s="299"/>
      <c r="J3" s="299"/>
      <c r="K3" s="299"/>
      <c r="L3" s="299"/>
      <c r="M3" s="300"/>
      <c r="N3" s="293" t="s">
        <v>53</v>
      </c>
      <c r="O3" s="293" t="str">
        <f>B3</f>
        <v>Структура инвестиций</v>
      </c>
      <c r="P3" s="298" t="s">
        <v>57</v>
      </c>
      <c r="Q3" s="299"/>
      <c r="R3" s="299"/>
      <c r="S3" s="299"/>
      <c r="T3" s="299"/>
      <c r="U3" s="299"/>
      <c r="V3" s="299"/>
      <c r="W3" s="299"/>
      <c r="X3" s="299"/>
      <c r="Y3" s="300"/>
      <c r="Z3" s="378"/>
      <c r="AA3" s="381"/>
      <c r="AB3" s="301"/>
      <c r="AC3" s="299"/>
      <c r="AD3" s="299"/>
      <c r="AE3" s="299"/>
      <c r="AF3" s="299"/>
      <c r="AG3" s="299"/>
      <c r="AH3" s="299"/>
      <c r="AI3" s="299"/>
      <c r="AJ3" s="299"/>
      <c r="AK3" s="300"/>
      <c r="AL3" s="302"/>
      <c r="AM3" s="302"/>
      <c r="AN3" s="301"/>
      <c r="AO3" s="299"/>
      <c r="AP3" s="299"/>
      <c r="AQ3" s="299"/>
      <c r="AR3" s="299"/>
      <c r="AS3" s="299"/>
      <c r="AT3" s="299"/>
      <c r="AU3" s="299"/>
      <c r="AV3" s="299"/>
      <c r="AW3" s="300"/>
      <c r="AX3" s="302"/>
      <c r="AY3" s="302"/>
      <c r="AZ3" s="301"/>
      <c r="BA3" s="299"/>
      <c r="BB3" s="299"/>
      <c r="BC3" s="299"/>
      <c r="BD3" s="299"/>
      <c r="BE3" s="299"/>
      <c r="BF3" s="299"/>
      <c r="BG3" s="299"/>
      <c r="BH3" s="299"/>
      <c r="BI3" s="299"/>
    </row>
    <row r="4" spans="1:61" ht="13.5" customHeight="1">
      <c r="A4" s="294"/>
      <c r="B4" s="294"/>
      <c r="C4" s="294"/>
      <c r="D4" s="298" t="str">
        <f>'Исходные данные'!$B$26&amp;" год"</f>
        <v>2021 год</v>
      </c>
      <c r="E4" s="299"/>
      <c r="F4" s="299"/>
      <c r="G4" s="299"/>
      <c r="H4" s="300"/>
      <c r="I4" s="298" t="str">
        <f>'Исходные данные'!$B$26+M16&amp;" год"</f>
        <v>2022 год</v>
      </c>
      <c r="J4" s="299"/>
      <c r="K4" s="299"/>
      <c r="L4" s="299"/>
      <c r="M4" s="300"/>
      <c r="N4" s="294"/>
      <c r="O4" s="294"/>
      <c r="P4" s="298" t="str">
        <f>'Исходные данные'!$B$26+T16&amp;" год"</f>
        <v>2023 год</v>
      </c>
      <c r="Q4" s="299"/>
      <c r="R4" s="299"/>
      <c r="S4" s="299"/>
      <c r="T4" s="300"/>
      <c r="U4" s="298" t="str">
        <f>'Исходные данные'!$B$26+Y16&amp;" год"</f>
        <v>2024 год</v>
      </c>
      <c r="V4" s="299"/>
      <c r="W4" s="299"/>
      <c r="X4" s="299"/>
      <c r="Y4" s="300"/>
      <c r="Z4" s="379"/>
      <c r="AA4" s="379"/>
      <c r="AB4" s="298" t="str">
        <f>'Исходные данные'!$B$26+AF16&amp;" год"</f>
        <v>2025 год</v>
      </c>
      <c r="AC4" s="299"/>
      <c r="AD4" s="299"/>
      <c r="AE4" s="299"/>
      <c r="AF4" s="300"/>
      <c r="AG4" s="298" t="str">
        <f>'Исходные данные'!$B$26+AK16&amp;" год"</f>
        <v>2026 год</v>
      </c>
      <c r="AH4" s="299"/>
      <c r="AI4" s="299"/>
      <c r="AJ4" s="299"/>
      <c r="AK4" s="300"/>
      <c r="AL4" s="303"/>
      <c r="AM4" s="303"/>
      <c r="AN4" s="298" t="str">
        <f>'Исходные данные'!$B$26+AR16&amp;" год"</f>
        <v>2027 год</v>
      </c>
      <c r="AO4" s="299"/>
      <c r="AP4" s="299"/>
      <c r="AQ4" s="299"/>
      <c r="AR4" s="300"/>
      <c r="AS4" s="298" t="str">
        <f>'Исходные данные'!$B$26+AW16&amp;" год"</f>
        <v>2028 год</v>
      </c>
      <c r="AT4" s="299"/>
      <c r="AU4" s="299"/>
      <c r="AV4" s="299"/>
      <c r="AW4" s="300"/>
      <c r="AX4" s="303"/>
      <c r="AY4" s="303"/>
      <c r="AZ4" s="301"/>
      <c r="BA4" s="299"/>
      <c r="BB4" s="299"/>
      <c r="BC4" s="299"/>
      <c r="BD4" s="300"/>
      <c r="BE4" s="301"/>
      <c r="BF4" s="299"/>
      <c r="BG4" s="299"/>
      <c r="BH4" s="299"/>
      <c r="BI4" s="300"/>
    </row>
    <row r="5" spans="1:61" ht="13.5" customHeight="1">
      <c r="A5" s="294"/>
      <c r="B5" s="294"/>
      <c r="C5" s="294"/>
      <c r="D5" s="72" t="s">
        <v>58</v>
      </c>
      <c r="E5" s="72" t="s">
        <v>59</v>
      </c>
      <c r="F5" s="73" t="s">
        <v>60</v>
      </c>
      <c r="G5" s="73" t="s">
        <v>61</v>
      </c>
      <c r="H5" s="73" t="s">
        <v>62</v>
      </c>
      <c r="I5" s="73" t="s">
        <v>58</v>
      </c>
      <c r="J5" s="73" t="s">
        <v>59</v>
      </c>
      <c r="K5" s="73" t="s">
        <v>60</v>
      </c>
      <c r="L5" s="73" t="s">
        <v>61</v>
      </c>
      <c r="M5" s="73" t="s">
        <v>62</v>
      </c>
      <c r="N5" s="294"/>
      <c r="O5" s="294"/>
      <c r="P5" s="73" t="s">
        <v>58</v>
      </c>
      <c r="Q5" s="73" t="s">
        <v>59</v>
      </c>
      <c r="R5" s="72" t="s">
        <v>60</v>
      </c>
      <c r="S5" s="72" t="s">
        <v>61</v>
      </c>
      <c r="T5" s="73" t="s">
        <v>62</v>
      </c>
      <c r="U5" s="73" t="s">
        <v>58</v>
      </c>
      <c r="V5" s="73" t="s">
        <v>59</v>
      </c>
      <c r="W5" s="73" t="s">
        <v>60</v>
      </c>
      <c r="X5" s="73" t="s">
        <v>61</v>
      </c>
      <c r="Y5" s="73" t="s">
        <v>62</v>
      </c>
      <c r="Z5" s="380"/>
      <c r="AA5" s="380"/>
      <c r="AB5" s="73" t="s">
        <v>58</v>
      </c>
      <c r="AC5" s="73" t="s">
        <v>59</v>
      </c>
      <c r="AD5" s="73" t="s">
        <v>60</v>
      </c>
      <c r="AE5" s="73" t="s">
        <v>61</v>
      </c>
      <c r="AF5" s="73" t="s">
        <v>62</v>
      </c>
      <c r="AG5" s="73" t="s">
        <v>58</v>
      </c>
      <c r="AH5" s="73" t="s">
        <v>59</v>
      </c>
      <c r="AI5" s="73" t="s">
        <v>60</v>
      </c>
      <c r="AJ5" s="73" t="s">
        <v>61</v>
      </c>
      <c r="AK5" s="73" t="s">
        <v>62</v>
      </c>
      <c r="AL5" s="304"/>
      <c r="AM5" s="304"/>
      <c r="AN5" s="73" t="s">
        <v>58</v>
      </c>
      <c r="AO5" s="73" t="s">
        <v>59</v>
      </c>
      <c r="AP5" s="73" t="s">
        <v>60</v>
      </c>
      <c r="AQ5" s="73" t="s">
        <v>61</v>
      </c>
      <c r="AR5" s="73" t="s">
        <v>62</v>
      </c>
      <c r="AS5" s="73" t="s">
        <v>58</v>
      </c>
      <c r="AT5" s="73" t="s">
        <v>59</v>
      </c>
      <c r="AU5" s="73" t="s">
        <v>60</v>
      </c>
      <c r="AV5" s="73" t="s">
        <v>61</v>
      </c>
      <c r="AW5" s="73" t="s">
        <v>62</v>
      </c>
      <c r="AX5" s="304"/>
      <c r="AY5" s="304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ht="13.5" customHeight="1">
      <c r="A6" s="75">
        <v>1</v>
      </c>
      <c r="B6" s="75">
        <f t="shared" ref="B6:M6" si="0">A6+1</f>
        <v>2</v>
      </c>
      <c r="C6" s="75">
        <f t="shared" si="0"/>
        <v>3</v>
      </c>
      <c r="D6" s="76">
        <f t="shared" si="0"/>
        <v>4</v>
      </c>
      <c r="E6" s="76">
        <f t="shared" si="0"/>
        <v>5</v>
      </c>
      <c r="F6" s="75">
        <f t="shared" si="0"/>
        <v>6</v>
      </c>
      <c r="G6" s="75">
        <f t="shared" si="0"/>
        <v>7</v>
      </c>
      <c r="H6" s="75">
        <f t="shared" si="0"/>
        <v>8</v>
      </c>
      <c r="I6" s="75">
        <f t="shared" si="0"/>
        <v>9</v>
      </c>
      <c r="J6" s="75">
        <f t="shared" si="0"/>
        <v>10</v>
      </c>
      <c r="K6" s="75">
        <f t="shared" si="0"/>
        <v>11</v>
      </c>
      <c r="L6" s="75">
        <f t="shared" si="0"/>
        <v>12</v>
      </c>
      <c r="M6" s="75">
        <f t="shared" si="0"/>
        <v>13</v>
      </c>
      <c r="N6" s="77"/>
      <c r="O6" s="77"/>
      <c r="P6" s="75">
        <v>15</v>
      </c>
      <c r="Q6" s="75">
        <v>16</v>
      </c>
      <c r="R6" s="76">
        <v>17</v>
      </c>
      <c r="S6" s="76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  <c r="Y6" s="75">
        <v>24</v>
      </c>
      <c r="Z6" s="77"/>
      <c r="AA6" s="78"/>
      <c r="AB6" s="75">
        <v>25</v>
      </c>
      <c r="AC6" s="75">
        <v>26</v>
      </c>
      <c r="AD6" s="75">
        <v>27</v>
      </c>
      <c r="AE6" s="75">
        <v>28</v>
      </c>
      <c r="AF6" s="75">
        <v>29</v>
      </c>
      <c r="AG6" s="75">
        <v>25</v>
      </c>
      <c r="AH6" s="75">
        <v>26</v>
      </c>
      <c r="AI6" s="75">
        <v>27</v>
      </c>
      <c r="AJ6" s="75">
        <v>28</v>
      </c>
      <c r="AK6" s="75">
        <v>29</v>
      </c>
      <c r="AL6" s="77"/>
      <c r="AM6" s="78"/>
      <c r="AN6" s="75">
        <v>25</v>
      </c>
      <c r="AO6" s="75">
        <v>26</v>
      </c>
      <c r="AP6" s="75">
        <v>27</v>
      </c>
      <c r="AQ6" s="75">
        <v>28</v>
      </c>
      <c r="AR6" s="75">
        <v>29</v>
      </c>
      <c r="AS6" s="75">
        <v>25</v>
      </c>
      <c r="AT6" s="75">
        <v>26</v>
      </c>
      <c r="AU6" s="75">
        <v>27</v>
      </c>
      <c r="AV6" s="75">
        <v>28</v>
      </c>
      <c r="AW6" s="75">
        <v>29</v>
      </c>
      <c r="AX6" s="77"/>
      <c r="AY6" s="78"/>
      <c r="AZ6" s="74"/>
      <c r="BA6" s="74"/>
      <c r="BB6" s="74"/>
      <c r="BC6" s="74"/>
      <c r="BD6" s="74"/>
      <c r="BE6" s="74"/>
      <c r="BF6" s="74"/>
      <c r="BG6" s="74"/>
      <c r="BH6" s="74"/>
      <c r="BI6" s="74"/>
    </row>
    <row r="7" spans="1:61" ht="24.6" customHeight="1">
      <c r="A7" s="291" t="s">
        <v>63</v>
      </c>
      <c r="B7" s="12" t="s">
        <v>64</v>
      </c>
      <c r="C7" s="80">
        <f t="shared" ref="C7:C15" si="1">H7+M7+T7+Y7+AF7+AK7+AR7+AW7+BD7+BI7</f>
        <v>322304.5</v>
      </c>
      <c r="D7" s="81">
        <f>SUM(D8:D11)</f>
        <v>53076.125</v>
      </c>
      <c r="E7" s="81">
        <f>SUM(E8:E11)</f>
        <v>53076.125</v>
      </c>
      <c r="F7" s="80">
        <f>SUM(F8:F11)</f>
        <v>108076.125</v>
      </c>
      <c r="G7" s="80">
        <f>SUM(G8:G11)</f>
        <v>108076.125</v>
      </c>
      <c r="H7" s="82">
        <f t="shared" ref="H7:H15" si="2">D7+E7+F7+G7</f>
        <v>322304.5</v>
      </c>
      <c r="I7" s="80">
        <f>SUM(I8:I11)</f>
        <v>0</v>
      </c>
      <c r="J7" s="80">
        <f>SUM(J8:J11)</f>
        <v>0</v>
      </c>
      <c r="K7" s="80">
        <f>SUM(K8:K11)</f>
        <v>0</v>
      </c>
      <c r="L7" s="80">
        <f>SUM(L8:L11)</f>
        <v>0</v>
      </c>
      <c r="M7" s="82">
        <f t="shared" ref="M7:M15" si="3">I7+J7+K7+L7</f>
        <v>0</v>
      </c>
      <c r="N7" s="291" t="str">
        <f>A7</f>
        <v>1.</v>
      </c>
      <c r="O7" s="12" t="str">
        <f>B7</f>
        <v>Капитальные вложения, в т.ч.:</v>
      </c>
      <c r="P7" s="80">
        <f>SUM(P8:P11)</f>
        <v>0</v>
      </c>
      <c r="Q7" s="80">
        <f>SUM(Q8:Q11)</f>
        <v>0</v>
      </c>
      <c r="R7" s="81">
        <f>SUM(R8:R11)</f>
        <v>0</v>
      </c>
      <c r="S7" s="81">
        <f>SUM(S8:S11)</f>
        <v>0</v>
      </c>
      <c r="T7" s="82">
        <f t="shared" ref="T7:T15" si="4">P7+Q7+R7+S7</f>
        <v>0</v>
      </c>
      <c r="U7" s="80">
        <f>U8+U9+U10+U11</f>
        <v>0</v>
      </c>
      <c r="V7" s="80">
        <f>V8+V9+V10+V11</f>
        <v>0</v>
      </c>
      <c r="W7" s="80">
        <f>W8+W9+W10+W11</f>
        <v>0</v>
      </c>
      <c r="X7" s="80">
        <f>X8+X9+X10+X11</f>
        <v>0</v>
      </c>
      <c r="Y7" s="82">
        <f t="shared" ref="Y7:Y15" si="5">U7+V7+W7+X7</f>
        <v>0</v>
      </c>
      <c r="Z7" s="375"/>
      <c r="AA7" s="116"/>
      <c r="AB7" s="80">
        <f>AB8+AB9+AB10+AB11</f>
        <v>0</v>
      </c>
      <c r="AC7" s="80">
        <f>AC8+AC9+AC10+AC11</f>
        <v>0</v>
      </c>
      <c r="AD7" s="80">
        <f>AD8+AD9+AD10+AD11</f>
        <v>0</v>
      </c>
      <c r="AE7" s="80">
        <f>AE8+AE9+AE10+AE11</f>
        <v>0</v>
      </c>
      <c r="AF7" s="82">
        <f t="shared" ref="AF7:AF15" si="6">AB7+AC7+AD7+AE7</f>
        <v>0</v>
      </c>
      <c r="AG7" s="80">
        <f>AG8+AG9+AG10+AG11</f>
        <v>0</v>
      </c>
      <c r="AH7" s="80">
        <f>AH8+AH9+AH10+AH11</f>
        <v>0</v>
      </c>
      <c r="AI7" s="80">
        <f>AI8+AI9+AI10+AI11</f>
        <v>0</v>
      </c>
      <c r="AJ7" s="80">
        <f>AJ8+AJ9+AJ10+AJ11</f>
        <v>0</v>
      </c>
      <c r="AK7" s="82">
        <f t="shared" ref="AK7:AK15" si="7">AG7+AH7+AI7+AJ7</f>
        <v>0</v>
      </c>
      <c r="AL7" s="295"/>
      <c r="AM7" s="83"/>
      <c r="AN7" s="80">
        <f>AN8+AN9+AN10+AN11</f>
        <v>0</v>
      </c>
      <c r="AO7" s="80">
        <f>AO8+AO9+AO10+AO11</f>
        <v>0</v>
      </c>
      <c r="AP7" s="80">
        <f>AP8+AP9+AP10+AP11</f>
        <v>0</v>
      </c>
      <c r="AQ7" s="80">
        <f>AQ8+AQ9+AQ10+AQ11</f>
        <v>0</v>
      </c>
      <c r="AR7" s="82">
        <f t="shared" ref="AR7:AR15" si="8">AN7+AO7+AP7+AQ7</f>
        <v>0</v>
      </c>
      <c r="AS7" s="80">
        <f>AS8+AS9+AS10+AS11</f>
        <v>0</v>
      </c>
      <c r="AT7" s="80">
        <f>AT8+AT9+AT10+AT11</f>
        <v>0</v>
      </c>
      <c r="AU7" s="80">
        <f>AU8+AU9+AU10+AU11</f>
        <v>0</v>
      </c>
      <c r="AV7" s="80">
        <f>AV8+AV9+AV10+AV11</f>
        <v>0</v>
      </c>
      <c r="AW7" s="82">
        <f t="shared" ref="AW7:AW15" si="9">AS7+AT7+AU7+AV7</f>
        <v>0</v>
      </c>
      <c r="AX7" s="295"/>
      <c r="AY7" s="83"/>
      <c r="AZ7" s="81"/>
      <c r="BA7" s="81"/>
      <c r="BB7" s="81"/>
      <c r="BC7" s="81"/>
      <c r="BD7" s="84"/>
      <c r="BE7" s="81"/>
      <c r="BF7" s="81"/>
      <c r="BG7" s="81"/>
      <c r="BH7" s="81"/>
      <c r="BI7" s="84"/>
    </row>
    <row r="8" spans="1:61" ht="13.5" customHeight="1">
      <c r="A8" s="292"/>
      <c r="B8" s="59" t="s">
        <v>17</v>
      </c>
      <c r="C8" s="80">
        <f>H8+M8+T8+Y8+AF8+AK8+AR8+AW8+BD8+BI8</f>
        <v>130000</v>
      </c>
      <c r="D8" s="81">
        <f>C19/4</f>
        <v>32500</v>
      </c>
      <c r="E8" s="81">
        <f t="shared" ref="E8:G9" si="10">D8</f>
        <v>32500</v>
      </c>
      <c r="F8" s="80">
        <f t="shared" si="10"/>
        <v>32500</v>
      </c>
      <c r="G8" s="80">
        <f t="shared" si="10"/>
        <v>32500</v>
      </c>
      <c r="H8" s="82">
        <f t="shared" si="2"/>
        <v>130000</v>
      </c>
      <c r="I8" s="80">
        <v>0</v>
      </c>
      <c r="J8" s="80">
        <f t="shared" ref="J8:L11" si="11">I8</f>
        <v>0</v>
      </c>
      <c r="K8" s="80">
        <f t="shared" si="11"/>
        <v>0</v>
      </c>
      <c r="L8" s="80">
        <f t="shared" si="11"/>
        <v>0</v>
      </c>
      <c r="M8" s="82">
        <f t="shared" si="3"/>
        <v>0</v>
      </c>
      <c r="N8" s="292"/>
      <c r="O8" s="59" t="str">
        <f t="shared" ref="O8:O15" si="12">B8</f>
        <v>здания и сооружения</v>
      </c>
      <c r="P8" s="80">
        <f>L8</f>
        <v>0</v>
      </c>
      <c r="Q8" s="80">
        <f t="shared" ref="Q8:S11" si="13">P8</f>
        <v>0</v>
      </c>
      <c r="R8" s="81">
        <f t="shared" si="13"/>
        <v>0</v>
      </c>
      <c r="S8" s="81">
        <f t="shared" si="13"/>
        <v>0</v>
      </c>
      <c r="T8" s="82">
        <f t="shared" si="4"/>
        <v>0</v>
      </c>
      <c r="U8" s="80">
        <f t="shared" ref="U8:X9" si="14">T8</f>
        <v>0</v>
      </c>
      <c r="V8" s="80">
        <f t="shared" si="14"/>
        <v>0</v>
      </c>
      <c r="W8" s="80">
        <f t="shared" si="14"/>
        <v>0</v>
      </c>
      <c r="X8" s="80">
        <f t="shared" si="14"/>
        <v>0</v>
      </c>
      <c r="Y8" s="82">
        <f t="shared" si="5"/>
        <v>0</v>
      </c>
      <c r="Z8" s="376"/>
      <c r="AA8" s="83"/>
      <c r="AB8" s="80">
        <f t="shared" ref="AB8:AB9" si="15">AA8</f>
        <v>0</v>
      </c>
      <c r="AC8" s="80">
        <f t="shared" ref="AC8:AC11" si="16">AB8</f>
        <v>0</v>
      </c>
      <c r="AD8" s="80">
        <f t="shared" ref="AD8:AD11" si="17">AC8</f>
        <v>0</v>
      </c>
      <c r="AE8" s="80">
        <f t="shared" ref="AE8:AE11" si="18">AD8</f>
        <v>0</v>
      </c>
      <c r="AF8" s="82">
        <f t="shared" si="6"/>
        <v>0</v>
      </c>
      <c r="AG8" s="80">
        <f t="shared" ref="AG8:AG9" si="19">AF8</f>
        <v>0</v>
      </c>
      <c r="AH8" s="80">
        <f t="shared" ref="AH8:AH11" si="20">AG8</f>
        <v>0</v>
      </c>
      <c r="AI8" s="80">
        <f t="shared" ref="AI8:AI11" si="21">AH8</f>
        <v>0</v>
      </c>
      <c r="AJ8" s="80">
        <f t="shared" ref="AJ8:AJ11" si="22">AI8</f>
        <v>0</v>
      </c>
      <c r="AK8" s="82">
        <f t="shared" si="7"/>
        <v>0</v>
      </c>
      <c r="AL8" s="296"/>
      <c r="AM8" s="83"/>
      <c r="AN8" s="80">
        <f t="shared" ref="AN8:AN9" si="23">AM8</f>
        <v>0</v>
      </c>
      <c r="AO8" s="80">
        <f t="shared" ref="AO8:AO11" si="24">AN8</f>
        <v>0</v>
      </c>
      <c r="AP8" s="80">
        <f t="shared" ref="AP8:AP11" si="25">AO8</f>
        <v>0</v>
      </c>
      <c r="AQ8" s="80">
        <f t="shared" ref="AQ8:AQ11" si="26">AP8</f>
        <v>0</v>
      </c>
      <c r="AR8" s="82">
        <f t="shared" si="8"/>
        <v>0</v>
      </c>
      <c r="AS8" s="80">
        <f t="shared" ref="AS8:AS9" si="27">AR8</f>
        <v>0</v>
      </c>
      <c r="AT8" s="80">
        <f t="shared" ref="AT8:AT11" si="28">AS8</f>
        <v>0</v>
      </c>
      <c r="AU8" s="80">
        <f t="shared" ref="AU8:AU11" si="29">AT8</f>
        <v>0</v>
      </c>
      <c r="AV8" s="80">
        <f t="shared" ref="AV8:AV11" si="30">AU8</f>
        <v>0</v>
      </c>
      <c r="AW8" s="82">
        <f t="shared" si="9"/>
        <v>0</v>
      </c>
      <c r="AX8" s="296"/>
      <c r="AY8" s="83"/>
      <c r="AZ8" s="81"/>
      <c r="BA8" s="81"/>
      <c r="BB8" s="81"/>
      <c r="BC8" s="81"/>
      <c r="BD8" s="84"/>
      <c r="BE8" s="81"/>
      <c r="BF8" s="81"/>
      <c r="BG8" s="81"/>
      <c r="BH8" s="81"/>
      <c r="BI8" s="84"/>
    </row>
    <row r="9" spans="1:61" ht="24.6" customHeight="1">
      <c r="A9" s="292"/>
      <c r="B9" s="59" t="s">
        <v>65</v>
      </c>
      <c r="C9" s="80">
        <f t="shared" si="1"/>
        <v>74000</v>
      </c>
      <c r="D9" s="81">
        <f>C20/4</f>
        <v>18500</v>
      </c>
      <c r="E9" s="81">
        <f t="shared" si="10"/>
        <v>18500</v>
      </c>
      <c r="F9" s="80">
        <f t="shared" si="10"/>
        <v>18500</v>
      </c>
      <c r="G9" s="80">
        <f t="shared" si="10"/>
        <v>18500</v>
      </c>
      <c r="H9" s="82">
        <f t="shared" si="2"/>
        <v>74000</v>
      </c>
      <c r="I9" s="80">
        <v>0</v>
      </c>
      <c r="J9" s="80">
        <f t="shared" si="11"/>
        <v>0</v>
      </c>
      <c r="K9" s="80">
        <f t="shared" si="11"/>
        <v>0</v>
      </c>
      <c r="L9" s="80">
        <f t="shared" si="11"/>
        <v>0</v>
      </c>
      <c r="M9" s="82">
        <f t="shared" si="3"/>
        <v>0</v>
      </c>
      <c r="N9" s="292"/>
      <c r="O9" s="59" t="str">
        <f t="shared" si="12"/>
        <v>строительно-монтажные работы</v>
      </c>
      <c r="P9" s="80">
        <f>L9</f>
        <v>0</v>
      </c>
      <c r="Q9" s="80">
        <f t="shared" si="13"/>
        <v>0</v>
      </c>
      <c r="R9" s="81">
        <f t="shared" si="13"/>
        <v>0</v>
      </c>
      <c r="S9" s="81">
        <f t="shared" si="13"/>
        <v>0</v>
      </c>
      <c r="T9" s="82">
        <f t="shared" si="4"/>
        <v>0</v>
      </c>
      <c r="U9" s="80">
        <f t="shared" si="14"/>
        <v>0</v>
      </c>
      <c r="V9" s="80">
        <f t="shared" si="14"/>
        <v>0</v>
      </c>
      <c r="W9" s="80">
        <f t="shared" si="14"/>
        <v>0</v>
      </c>
      <c r="X9" s="80">
        <f t="shared" si="14"/>
        <v>0</v>
      </c>
      <c r="Y9" s="82">
        <f t="shared" si="5"/>
        <v>0</v>
      </c>
      <c r="Z9" s="376"/>
      <c r="AA9" s="83"/>
      <c r="AB9" s="80">
        <f t="shared" si="15"/>
        <v>0</v>
      </c>
      <c r="AC9" s="80">
        <f t="shared" si="16"/>
        <v>0</v>
      </c>
      <c r="AD9" s="80">
        <f t="shared" si="17"/>
        <v>0</v>
      </c>
      <c r="AE9" s="80">
        <f t="shared" si="18"/>
        <v>0</v>
      </c>
      <c r="AF9" s="82">
        <f t="shared" si="6"/>
        <v>0</v>
      </c>
      <c r="AG9" s="80">
        <f t="shared" si="19"/>
        <v>0</v>
      </c>
      <c r="AH9" s="80">
        <f t="shared" si="20"/>
        <v>0</v>
      </c>
      <c r="AI9" s="80">
        <f t="shared" si="21"/>
        <v>0</v>
      </c>
      <c r="AJ9" s="80">
        <f t="shared" si="22"/>
        <v>0</v>
      </c>
      <c r="AK9" s="82">
        <f t="shared" si="7"/>
        <v>0</v>
      </c>
      <c r="AL9" s="296"/>
      <c r="AM9" s="83"/>
      <c r="AN9" s="80">
        <f t="shared" si="23"/>
        <v>0</v>
      </c>
      <c r="AO9" s="80">
        <f t="shared" si="24"/>
        <v>0</v>
      </c>
      <c r="AP9" s="80">
        <f t="shared" si="25"/>
        <v>0</v>
      </c>
      <c r="AQ9" s="80">
        <f t="shared" si="26"/>
        <v>0</v>
      </c>
      <c r="AR9" s="82">
        <f t="shared" si="8"/>
        <v>0</v>
      </c>
      <c r="AS9" s="80">
        <f t="shared" si="27"/>
        <v>0</v>
      </c>
      <c r="AT9" s="80">
        <f t="shared" si="28"/>
        <v>0</v>
      </c>
      <c r="AU9" s="80">
        <f t="shared" si="29"/>
        <v>0</v>
      </c>
      <c r="AV9" s="80">
        <f t="shared" si="30"/>
        <v>0</v>
      </c>
      <c r="AW9" s="82">
        <f t="shared" si="9"/>
        <v>0</v>
      </c>
      <c r="AX9" s="296"/>
      <c r="AY9" s="83"/>
      <c r="AZ9" s="81"/>
      <c r="BA9" s="81"/>
      <c r="BB9" s="81"/>
      <c r="BC9" s="81"/>
      <c r="BD9" s="84"/>
      <c r="BE9" s="81"/>
      <c r="BF9" s="81"/>
      <c r="BG9" s="81"/>
      <c r="BH9" s="81"/>
      <c r="BI9" s="84"/>
    </row>
    <row r="10" spans="1:61" ht="13.5" customHeight="1">
      <c r="A10" s="292"/>
      <c r="B10" s="59" t="s">
        <v>66</v>
      </c>
      <c r="C10" s="80">
        <f t="shared" si="1"/>
        <v>110000</v>
      </c>
      <c r="D10" s="81">
        <v>0</v>
      </c>
      <c r="E10" s="81">
        <f>D10</f>
        <v>0</v>
      </c>
      <c r="F10" s="80">
        <f>C21/2</f>
        <v>55000</v>
      </c>
      <c r="G10" s="80">
        <f>F10</f>
        <v>55000</v>
      </c>
      <c r="H10" s="82">
        <f t="shared" si="2"/>
        <v>110000</v>
      </c>
      <c r="I10" s="80">
        <v>0</v>
      </c>
      <c r="J10" s="80">
        <f t="shared" si="11"/>
        <v>0</v>
      </c>
      <c r="K10" s="80">
        <f t="shared" si="11"/>
        <v>0</v>
      </c>
      <c r="L10" s="80">
        <f t="shared" si="11"/>
        <v>0</v>
      </c>
      <c r="M10" s="82">
        <f t="shared" si="3"/>
        <v>0</v>
      </c>
      <c r="N10" s="292"/>
      <c r="O10" s="59" t="str">
        <f t="shared" si="12"/>
        <v>оборудование</v>
      </c>
      <c r="P10" s="80">
        <f>L10</f>
        <v>0</v>
      </c>
      <c r="Q10" s="80">
        <f t="shared" si="13"/>
        <v>0</v>
      </c>
      <c r="R10" s="81">
        <f t="shared" si="13"/>
        <v>0</v>
      </c>
      <c r="S10" s="81">
        <f t="shared" si="13"/>
        <v>0</v>
      </c>
      <c r="T10" s="82">
        <f t="shared" si="4"/>
        <v>0</v>
      </c>
      <c r="U10" s="80">
        <f>S10</f>
        <v>0</v>
      </c>
      <c r="V10" s="80">
        <f t="shared" ref="V10:X11" si="31">U10</f>
        <v>0</v>
      </c>
      <c r="W10" s="80">
        <f t="shared" si="31"/>
        <v>0</v>
      </c>
      <c r="X10" s="80">
        <f t="shared" si="31"/>
        <v>0</v>
      </c>
      <c r="Y10" s="82">
        <f t="shared" si="5"/>
        <v>0</v>
      </c>
      <c r="Z10" s="376"/>
      <c r="AA10" s="83"/>
      <c r="AB10" s="80">
        <f>Z10</f>
        <v>0</v>
      </c>
      <c r="AC10" s="80">
        <f t="shared" si="16"/>
        <v>0</v>
      </c>
      <c r="AD10" s="80">
        <f t="shared" si="17"/>
        <v>0</v>
      </c>
      <c r="AE10" s="80">
        <f t="shared" si="18"/>
        <v>0</v>
      </c>
      <c r="AF10" s="82">
        <f t="shared" si="6"/>
        <v>0</v>
      </c>
      <c r="AG10" s="80">
        <f>AE10</f>
        <v>0</v>
      </c>
      <c r="AH10" s="80">
        <f t="shared" si="20"/>
        <v>0</v>
      </c>
      <c r="AI10" s="80">
        <f t="shared" si="21"/>
        <v>0</v>
      </c>
      <c r="AJ10" s="80">
        <f t="shared" si="22"/>
        <v>0</v>
      </c>
      <c r="AK10" s="82">
        <f t="shared" si="7"/>
        <v>0</v>
      </c>
      <c r="AL10" s="296"/>
      <c r="AM10" s="83"/>
      <c r="AN10" s="80">
        <f>AL10</f>
        <v>0</v>
      </c>
      <c r="AO10" s="80">
        <f t="shared" si="24"/>
        <v>0</v>
      </c>
      <c r="AP10" s="80">
        <f t="shared" si="25"/>
        <v>0</v>
      </c>
      <c r="AQ10" s="80">
        <f t="shared" si="26"/>
        <v>0</v>
      </c>
      <c r="AR10" s="82">
        <f t="shared" si="8"/>
        <v>0</v>
      </c>
      <c r="AS10" s="80">
        <f>AQ10</f>
        <v>0</v>
      </c>
      <c r="AT10" s="80">
        <f t="shared" si="28"/>
        <v>0</v>
      </c>
      <c r="AU10" s="80">
        <f t="shared" si="29"/>
        <v>0</v>
      </c>
      <c r="AV10" s="80">
        <f t="shared" si="30"/>
        <v>0</v>
      </c>
      <c r="AW10" s="82">
        <f t="shared" si="9"/>
        <v>0</v>
      </c>
      <c r="AX10" s="296"/>
      <c r="AY10" s="83"/>
      <c r="AZ10" s="81"/>
      <c r="BA10" s="81"/>
      <c r="BB10" s="81"/>
      <c r="BC10" s="81"/>
      <c r="BD10" s="84"/>
      <c r="BE10" s="81"/>
      <c r="BF10" s="81"/>
      <c r="BG10" s="81"/>
      <c r="BH10" s="81"/>
      <c r="BI10" s="84"/>
    </row>
    <row r="11" spans="1:61" ht="13.5" customHeight="1">
      <c r="A11" s="292"/>
      <c r="B11" s="59" t="s">
        <v>67</v>
      </c>
      <c r="C11" s="80">
        <f t="shared" si="1"/>
        <v>8304.5</v>
      </c>
      <c r="D11" s="81">
        <f>C22/4</f>
        <v>2076.125</v>
      </c>
      <c r="E11" s="81">
        <f>D11</f>
        <v>2076.125</v>
      </c>
      <c r="F11" s="80">
        <f>E11</f>
        <v>2076.125</v>
      </c>
      <c r="G11" s="80">
        <f>F11</f>
        <v>2076.125</v>
      </c>
      <c r="H11" s="82">
        <f t="shared" si="2"/>
        <v>8304.5</v>
      </c>
      <c r="I11" s="80">
        <v>0</v>
      </c>
      <c r="J11" s="80">
        <f t="shared" si="11"/>
        <v>0</v>
      </c>
      <c r="K11" s="80">
        <f t="shared" si="11"/>
        <v>0</v>
      </c>
      <c r="L11" s="80">
        <f t="shared" si="11"/>
        <v>0</v>
      </c>
      <c r="M11" s="82">
        <f t="shared" si="3"/>
        <v>0</v>
      </c>
      <c r="N11" s="292"/>
      <c r="O11" s="59" t="str">
        <f t="shared" si="12"/>
        <v>прочее</v>
      </c>
      <c r="P11" s="80">
        <f>L11</f>
        <v>0</v>
      </c>
      <c r="Q11" s="80">
        <f t="shared" si="13"/>
        <v>0</v>
      </c>
      <c r="R11" s="81">
        <f t="shared" si="13"/>
        <v>0</v>
      </c>
      <c r="S11" s="81">
        <f t="shared" si="13"/>
        <v>0</v>
      </c>
      <c r="T11" s="82">
        <f t="shared" si="4"/>
        <v>0</v>
      </c>
      <c r="U11" s="80">
        <f>S11</f>
        <v>0</v>
      </c>
      <c r="V11" s="80">
        <f t="shared" si="31"/>
        <v>0</v>
      </c>
      <c r="W11" s="80">
        <f t="shared" si="31"/>
        <v>0</v>
      </c>
      <c r="X11" s="80">
        <f t="shared" si="31"/>
        <v>0</v>
      </c>
      <c r="Y11" s="82">
        <f t="shared" si="5"/>
        <v>0</v>
      </c>
      <c r="Z11" s="377"/>
      <c r="AA11" s="83"/>
      <c r="AB11" s="80">
        <f>Z11</f>
        <v>0</v>
      </c>
      <c r="AC11" s="80">
        <f t="shared" si="16"/>
        <v>0</v>
      </c>
      <c r="AD11" s="80">
        <f t="shared" si="17"/>
        <v>0</v>
      </c>
      <c r="AE11" s="80">
        <f t="shared" si="18"/>
        <v>0</v>
      </c>
      <c r="AF11" s="82">
        <f t="shared" si="6"/>
        <v>0</v>
      </c>
      <c r="AG11" s="80">
        <f>AE11</f>
        <v>0</v>
      </c>
      <c r="AH11" s="80">
        <f t="shared" si="20"/>
        <v>0</v>
      </c>
      <c r="AI11" s="80">
        <f t="shared" si="21"/>
        <v>0</v>
      </c>
      <c r="AJ11" s="80">
        <f t="shared" si="22"/>
        <v>0</v>
      </c>
      <c r="AK11" s="82">
        <f t="shared" si="7"/>
        <v>0</v>
      </c>
      <c r="AL11" s="297"/>
      <c r="AM11" s="83"/>
      <c r="AN11" s="80">
        <f>AL11</f>
        <v>0</v>
      </c>
      <c r="AO11" s="80">
        <f t="shared" si="24"/>
        <v>0</v>
      </c>
      <c r="AP11" s="80">
        <f t="shared" si="25"/>
        <v>0</v>
      </c>
      <c r="AQ11" s="80">
        <f t="shared" si="26"/>
        <v>0</v>
      </c>
      <c r="AR11" s="82">
        <f t="shared" si="8"/>
        <v>0</v>
      </c>
      <c r="AS11" s="80">
        <f>AQ11</f>
        <v>0</v>
      </c>
      <c r="AT11" s="80">
        <f t="shared" si="28"/>
        <v>0</v>
      </c>
      <c r="AU11" s="80">
        <f t="shared" si="29"/>
        <v>0</v>
      </c>
      <c r="AV11" s="80">
        <f t="shared" si="30"/>
        <v>0</v>
      </c>
      <c r="AW11" s="82">
        <f t="shared" si="9"/>
        <v>0</v>
      </c>
      <c r="AX11" s="297"/>
      <c r="AY11" s="83"/>
      <c r="AZ11" s="81"/>
      <c r="BA11" s="81"/>
      <c r="BB11" s="81"/>
      <c r="BC11" s="81"/>
      <c r="BD11" s="84"/>
      <c r="BE11" s="81"/>
      <c r="BF11" s="81"/>
      <c r="BG11" s="81"/>
      <c r="BH11" s="81"/>
      <c r="BI11" s="84"/>
    </row>
    <row r="12" spans="1:61" ht="24.6" customHeight="1">
      <c r="A12" s="85" t="s">
        <v>68</v>
      </c>
      <c r="B12" s="12" t="s">
        <v>69</v>
      </c>
      <c r="C12" s="80">
        <f t="shared" si="1"/>
        <v>6000</v>
      </c>
      <c r="D12" s="81">
        <v>0</v>
      </c>
      <c r="E12" s="81">
        <v>0</v>
      </c>
      <c r="F12" s="80">
        <v>3000</v>
      </c>
      <c r="G12" s="80">
        <v>3000</v>
      </c>
      <c r="H12" s="82">
        <f t="shared" si="2"/>
        <v>6000</v>
      </c>
      <c r="I12" s="80">
        <v>0</v>
      </c>
      <c r="J12" s="80">
        <v>0</v>
      </c>
      <c r="K12" s="80">
        <v>0</v>
      </c>
      <c r="L12" s="80">
        <v>0</v>
      </c>
      <c r="M12" s="82">
        <f t="shared" si="3"/>
        <v>0</v>
      </c>
      <c r="N12" s="85" t="str">
        <f>A12</f>
        <v>2.</v>
      </c>
      <c r="O12" s="59" t="str">
        <f t="shared" si="12"/>
        <v>Затраты на приобретение оборотных средств</v>
      </c>
      <c r="P12" s="80">
        <v>0</v>
      </c>
      <c r="Q12" s="80">
        <v>0</v>
      </c>
      <c r="R12" s="81">
        <v>0</v>
      </c>
      <c r="S12" s="81">
        <v>0</v>
      </c>
      <c r="T12" s="82">
        <f t="shared" si="4"/>
        <v>0</v>
      </c>
      <c r="U12" s="80">
        <v>0</v>
      </c>
      <c r="V12" s="80">
        <v>0</v>
      </c>
      <c r="W12" s="80">
        <v>0</v>
      </c>
      <c r="X12" s="80">
        <v>0</v>
      </c>
      <c r="Y12" s="82">
        <f t="shared" si="5"/>
        <v>0</v>
      </c>
      <c r="Z12" s="86"/>
      <c r="AA12" s="83"/>
      <c r="AB12" s="80">
        <v>0</v>
      </c>
      <c r="AC12" s="80">
        <v>0</v>
      </c>
      <c r="AD12" s="80">
        <v>0</v>
      </c>
      <c r="AE12" s="80">
        <v>0</v>
      </c>
      <c r="AF12" s="82">
        <f t="shared" si="6"/>
        <v>0</v>
      </c>
      <c r="AG12" s="80">
        <v>0</v>
      </c>
      <c r="AH12" s="80">
        <v>0</v>
      </c>
      <c r="AI12" s="80">
        <v>0</v>
      </c>
      <c r="AJ12" s="80">
        <v>0</v>
      </c>
      <c r="AK12" s="82">
        <f t="shared" si="7"/>
        <v>0</v>
      </c>
      <c r="AL12" s="86"/>
      <c r="AM12" s="83"/>
      <c r="AN12" s="80">
        <v>0</v>
      </c>
      <c r="AO12" s="80">
        <v>0</v>
      </c>
      <c r="AP12" s="80">
        <v>0</v>
      </c>
      <c r="AQ12" s="80">
        <v>0</v>
      </c>
      <c r="AR12" s="82">
        <f t="shared" si="8"/>
        <v>0</v>
      </c>
      <c r="AS12" s="80">
        <v>0</v>
      </c>
      <c r="AT12" s="80">
        <v>0</v>
      </c>
      <c r="AU12" s="80">
        <v>0</v>
      </c>
      <c r="AV12" s="80">
        <v>0</v>
      </c>
      <c r="AW12" s="82">
        <f t="shared" si="9"/>
        <v>0</v>
      </c>
      <c r="AX12" s="86"/>
      <c r="AY12" s="83"/>
      <c r="AZ12" s="81"/>
      <c r="BA12" s="81"/>
      <c r="BB12" s="81"/>
      <c r="BC12" s="81"/>
      <c r="BD12" s="84"/>
      <c r="BE12" s="81"/>
      <c r="BF12" s="81"/>
      <c r="BG12" s="81"/>
      <c r="BH12" s="81"/>
      <c r="BI12" s="84"/>
    </row>
    <row r="13" spans="1:61" ht="13.5" customHeight="1">
      <c r="A13" s="85" t="s">
        <v>70</v>
      </c>
      <c r="B13" s="12" t="s">
        <v>71</v>
      </c>
      <c r="C13" s="80">
        <f t="shared" si="1"/>
        <v>695.5</v>
      </c>
      <c r="D13" s="81">
        <f>IF(D7=0,0,'Исходные данные'!$B$16)</f>
        <v>173.875</v>
      </c>
      <c r="E13" s="81">
        <f>IF(E7=0,0,'Исходные данные'!$B$16)</f>
        <v>173.875</v>
      </c>
      <c r="F13" s="80">
        <f>IF(F7=0,0,'Исходные данные'!$B$16)</f>
        <v>173.875</v>
      </c>
      <c r="G13" s="80">
        <f>IF(G7=0,0,'Исходные данные'!$B$16)</f>
        <v>173.875</v>
      </c>
      <c r="H13" s="82">
        <f t="shared" si="2"/>
        <v>695.5</v>
      </c>
      <c r="I13" s="80">
        <f>IF(I7=0,0,'Исходные данные'!$B$16)</f>
        <v>0</v>
      </c>
      <c r="J13" s="80">
        <f>IF(J7=0,0,'Исходные данные'!$B$16)</f>
        <v>0</v>
      </c>
      <c r="K13" s="80">
        <f>IF(K7=0,0,'Исходные данные'!$B$16)</f>
        <v>0</v>
      </c>
      <c r="L13" s="80">
        <f>IF(L7=0,0,'Исходные данные'!$B$16)</f>
        <v>0</v>
      </c>
      <c r="M13" s="82">
        <f t="shared" si="3"/>
        <v>0</v>
      </c>
      <c r="N13" s="85" t="str">
        <f>A13</f>
        <v>3.</v>
      </c>
      <c r="O13" s="59" t="str">
        <f t="shared" si="12"/>
        <v>Другие инвестиции</v>
      </c>
      <c r="P13" s="80">
        <f>IF(P7=0,0,'Исходные данные'!$B$16)</f>
        <v>0</v>
      </c>
      <c r="Q13" s="80">
        <f>IF(Q7=0,0,'Исходные данные'!$B$16)</f>
        <v>0</v>
      </c>
      <c r="R13" s="81">
        <f>IF(R7=0,0,'Исходные данные'!$B$16)</f>
        <v>0</v>
      </c>
      <c r="S13" s="81">
        <f>IF(S7=0,0,'Исходные данные'!$B$16)</f>
        <v>0</v>
      </c>
      <c r="T13" s="82">
        <f t="shared" si="4"/>
        <v>0</v>
      </c>
      <c r="U13" s="80">
        <f>IF(U7=0,0,'Исходные данные'!$B$16)</f>
        <v>0</v>
      </c>
      <c r="V13" s="80">
        <f>IF(V7=0,0,'Исходные данные'!$B$16)</f>
        <v>0</v>
      </c>
      <c r="W13" s="80">
        <f>IF(W7=0,0,'Исходные данные'!$B$16)</f>
        <v>0</v>
      </c>
      <c r="X13" s="80">
        <f>IF(X7=0,0,'Исходные данные'!$B$16)</f>
        <v>0</v>
      </c>
      <c r="Y13" s="82">
        <f t="shared" si="5"/>
        <v>0</v>
      </c>
      <c r="Z13" s="86"/>
      <c r="AA13" s="83"/>
      <c r="AB13" s="80">
        <f>IF(AB7=0,0,'Исходные данные'!$B$16)</f>
        <v>0</v>
      </c>
      <c r="AC13" s="80">
        <f>IF(AC7=0,0,'Исходные данные'!$B$16)</f>
        <v>0</v>
      </c>
      <c r="AD13" s="80">
        <f>IF(AD7=0,0,'Исходные данные'!$B$16)</f>
        <v>0</v>
      </c>
      <c r="AE13" s="80">
        <f>IF(AE7=0,0,'Исходные данные'!$B$16)</f>
        <v>0</v>
      </c>
      <c r="AF13" s="82">
        <f t="shared" si="6"/>
        <v>0</v>
      </c>
      <c r="AG13" s="80">
        <f>IF(AG7=0,0,'Исходные данные'!$B$16)</f>
        <v>0</v>
      </c>
      <c r="AH13" s="80">
        <f>IF(AH7=0,0,'Исходные данные'!$B$16)</f>
        <v>0</v>
      </c>
      <c r="AI13" s="80">
        <f>IF(AI7=0,0,'Исходные данные'!$B$16)</f>
        <v>0</v>
      </c>
      <c r="AJ13" s="80">
        <f>IF(AJ7=0,0,'Исходные данные'!$B$16)</f>
        <v>0</v>
      </c>
      <c r="AK13" s="82">
        <f t="shared" si="7"/>
        <v>0</v>
      </c>
      <c r="AL13" s="86"/>
      <c r="AM13" s="83"/>
      <c r="AN13" s="80">
        <f>IF(AN7=0,0,'Исходные данные'!$B$16)</f>
        <v>0</v>
      </c>
      <c r="AO13" s="80">
        <f>IF(AO7=0,0,'Исходные данные'!$B$16)</f>
        <v>0</v>
      </c>
      <c r="AP13" s="80">
        <f>IF(AP7=0,0,'Исходные данные'!$B$16)</f>
        <v>0</v>
      </c>
      <c r="AQ13" s="80">
        <f>IF(AQ7=0,0,'Исходные данные'!$B$16)</f>
        <v>0</v>
      </c>
      <c r="AR13" s="82">
        <f t="shared" si="8"/>
        <v>0</v>
      </c>
      <c r="AS13" s="80">
        <f>IF(AS7=0,0,'Исходные данные'!$B$16)</f>
        <v>0</v>
      </c>
      <c r="AT13" s="80">
        <f>IF(AT7=0,0,'Исходные данные'!$B$16)</f>
        <v>0</v>
      </c>
      <c r="AU13" s="80">
        <f>IF(AU7=0,0,'Исходные данные'!$B$16)</f>
        <v>0</v>
      </c>
      <c r="AV13" s="80">
        <f>IF(AV7=0,0,'Исходные данные'!$B$16)</f>
        <v>0</v>
      </c>
      <c r="AW13" s="82">
        <f t="shared" si="9"/>
        <v>0</v>
      </c>
      <c r="AX13" s="86"/>
      <c r="AY13" s="83"/>
      <c r="AZ13" s="81"/>
      <c r="BA13" s="81"/>
      <c r="BB13" s="81"/>
      <c r="BC13" s="81"/>
      <c r="BD13" s="84"/>
      <c r="BE13" s="81"/>
      <c r="BF13" s="81"/>
      <c r="BG13" s="81"/>
      <c r="BH13" s="81"/>
      <c r="BI13" s="84"/>
    </row>
    <row r="14" spans="1:61" ht="24.6" customHeight="1">
      <c r="A14" s="85" t="s">
        <v>72</v>
      </c>
      <c r="B14" s="12" t="s">
        <v>73</v>
      </c>
      <c r="C14" s="80">
        <f t="shared" si="1"/>
        <v>329000</v>
      </c>
      <c r="D14" s="81">
        <f>D7+D12+D13</f>
        <v>53250</v>
      </c>
      <c r="E14" s="81">
        <f>E7+E12+E13</f>
        <v>53250</v>
      </c>
      <c r="F14" s="80">
        <f>F7+F12+F13</f>
        <v>111250</v>
      </c>
      <c r="G14" s="80">
        <f>G7+G12+G13</f>
        <v>111250</v>
      </c>
      <c r="H14" s="82">
        <f t="shared" si="2"/>
        <v>329000</v>
      </c>
      <c r="I14" s="80">
        <f>I7+I12+I13</f>
        <v>0</v>
      </c>
      <c r="J14" s="80">
        <f>J7+J12+J13</f>
        <v>0</v>
      </c>
      <c r="K14" s="80">
        <f>K7+K12+K13</f>
        <v>0</v>
      </c>
      <c r="L14" s="80">
        <f>L7+L12+L13</f>
        <v>0</v>
      </c>
      <c r="M14" s="82">
        <f t="shared" si="3"/>
        <v>0</v>
      </c>
      <c r="N14" s="85" t="str">
        <f>A14</f>
        <v>4.</v>
      </c>
      <c r="O14" s="59" t="str">
        <f t="shared" si="12"/>
        <v>Общие инвестиции по проекту</v>
      </c>
      <c r="P14" s="80">
        <f>P7+P12+P13</f>
        <v>0</v>
      </c>
      <c r="Q14" s="80">
        <f>Q7+Q12+Q13</f>
        <v>0</v>
      </c>
      <c r="R14" s="81">
        <f>R7+R12+R13</f>
        <v>0</v>
      </c>
      <c r="S14" s="81">
        <f>S7+S12+S13</f>
        <v>0</v>
      </c>
      <c r="T14" s="82">
        <f t="shared" si="4"/>
        <v>0</v>
      </c>
      <c r="U14" s="80">
        <f>U7+U12+U13</f>
        <v>0</v>
      </c>
      <c r="V14" s="80">
        <f>V7+V12+V13</f>
        <v>0</v>
      </c>
      <c r="W14" s="80">
        <f>W7+W12+W13</f>
        <v>0</v>
      </c>
      <c r="X14" s="80">
        <f>X7+X12+X13</f>
        <v>0</v>
      </c>
      <c r="Y14" s="82">
        <f t="shared" si="5"/>
        <v>0</v>
      </c>
      <c r="Z14" s="86"/>
      <c r="AA14" s="87"/>
      <c r="AB14" s="80">
        <f>AB7+AB12+AB13</f>
        <v>0</v>
      </c>
      <c r="AC14" s="80">
        <f>AC7+AC12+AC13</f>
        <v>0</v>
      </c>
      <c r="AD14" s="80">
        <f>AD7+AD12+AD13</f>
        <v>0</v>
      </c>
      <c r="AE14" s="80">
        <f>AE7+AE12+AE13</f>
        <v>0</v>
      </c>
      <c r="AF14" s="82">
        <f t="shared" si="6"/>
        <v>0</v>
      </c>
      <c r="AG14" s="80">
        <f>AG7+AG12+AG13</f>
        <v>0</v>
      </c>
      <c r="AH14" s="80">
        <f>AH7+AH12+AH13</f>
        <v>0</v>
      </c>
      <c r="AI14" s="80">
        <f>AI7+AI12+AI13</f>
        <v>0</v>
      </c>
      <c r="AJ14" s="80">
        <f>AJ7+AJ12+AJ13</f>
        <v>0</v>
      </c>
      <c r="AK14" s="82">
        <f t="shared" si="7"/>
        <v>0</v>
      </c>
      <c r="AL14" s="86"/>
      <c r="AM14" s="87"/>
      <c r="AN14" s="80">
        <f>AN7+AN12+AN13</f>
        <v>0</v>
      </c>
      <c r="AO14" s="80">
        <f>AO7+AO12+AO13</f>
        <v>0</v>
      </c>
      <c r="AP14" s="80">
        <f>AP7+AP12+AP13</f>
        <v>0</v>
      </c>
      <c r="AQ14" s="80">
        <f>AQ7+AQ12+AQ13</f>
        <v>0</v>
      </c>
      <c r="AR14" s="82">
        <f t="shared" si="8"/>
        <v>0</v>
      </c>
      <c r="AS14" s="80">
        <f>AS7+AS12+AS13</f>
        <v>0</v>
      </c>
      <c r="AT14" s="80">
        <f>AT7+AT12+AT13</f>
        <v>0</v>
      </c>
      <c r="AU14" s="80">
        <f>AU7+AU12+AU13</f>
        <v>0</v>
      </c>
      <c r="AV14" s="80">
        <f>AV7+AV12+AV13</f>
        <v>0</v>
      </c>
      <c r="AW14" s="82">
        <f t="shared" si="9"/>
        <v>0</v>
      </c>
      <c r="AX14" s="86"/>
      <c r="AY14" s="87"/>
      <c r="AZ14" s="81"/>
      <c r="BA14" s="81"/>
      <c r="BB14" s="81"/>
      <c r="BC14" s="81"/>
      <c r="BD14" s="84"/>
      <c r="BE14" s="81"/>
      <c r="BF14" s="81"/>
      <c r="BG14" s="81"/>
      <c r="BH14" s="81"/>
      <c r="BI14" s="84"/>
    </row>
    <row r="15" spans="1:61" ht="24.6" customHeight="1">
      <c r="A15" s="88" t="s">
        <v>74</v>
      </c>
      <c r="B15" s="89" t="s">
        <v>75</v>
      </c>
      <c r="C15" s="80">
        <f t="shared" si="1"/>
        <v>53717.416666666672</v>
      </c>
      <c r="D15" s="81">
        <f>(D14-D12-D13)/120*20</f>
        <v>8846.0208333333339</v>
      </c>
      <c r="E15" s="81">
        <f>(E14-E12-E13)/120*20</f>
        <v>8846.0208333333339</v>
      </c>
      <c r="F15" s="80">
        <f>(F14-F12-F13)/120*20</f>
        <v>18012.6875</v>
      </c>
      <c r="G15" s="80">
        <f>(G14-G12-G13)/120*20</f>
        <v>18012.6875</v>
      </c>
      <c r="H15" s="82">
        <f t="shared" si="2"/>
        <v>53717.416666666672</v>
      </c>
      <c r="I15" s="80">
        <f>(I14-I12-I13)/118*18</f>
        <v>0</v>
      </c>
      <c r="J15" s="80">
        <f>(J14-J12-J13)/118*18</f>
        <v>0</v>
      </c>
      <c r="K15" s="80">
        <f>(K14-K12-K13)/118*18</f>
        <v>0</v>
      </c>
      <c r="L15" s="80">
        <f>(L14-L12-L13)/118*18</f>
        <v>0</v>
      </c>
      <c r="M15" s="82">
        <f t="shared" si="3"/>
        <v>0</v>
      </c>
      <c r="N15" s="85" t="str">
        <f>A15</f>
        <v>5.</v>
      </c>
      <c r="O15" s="90" t="str">
        <f t="shared" si="12"/>
        <v>НДС на СМР, оборудование, оборотные средства</v>
      </c>
      <c r="P15" s="80">
        <f>(P14-P12-P13)/118*18</f>
        <v>0</v>
      </c>
      <c r="Q15" s="80">
        <f>(Q14-Q12-Q13)/118*18</f>
        <v>0</v>
      </c>
      <c r="R15" s="81">
        <f>(R14-R12-R13)/118*18</f>
        <v>0</v>
      </c>
      <c r="S15" s="81">
        <f>(S14-S12-S13)/118*18</f>
        <v>0</v>
      </c>
      <c r="T15" s="82">
        <f t="shared" si="4"/>
        <v>0</v>
      </c>
      <c r="U15" s="80">
        <f>(U14-U12-U13)/118*18</f>
        <v>0</v>
      </c>
      <c r="V15" s="80">
        <f>(V14-V12-V13)/118*18</f>
        <v>0</v>
      </c>
      <c r="W15" s="80">
        <f>(W14-W12-W13)/118*18</f>
        <v>0</v>
      </c>
      <c r="X15" s="80">
        <f>(X14-X12-X13)/118*18</f>
        <v>0</v>
      </c>
      <c r="Y15" s="82">
        <f t="shared" si="5"/>
        <v>0</v>
      </c>
      <c r="Z15" s="91"/>
      <c r="AA15" s="2"/>
      <c r="AB15" s="80">
        <f>(AB14-AB12-AB13)/118*18</f>
        <v>0</v>
      </c>
      <c r="AC15" s="80">
        <f>(AC14-AC12-AC13)/118*18</f>
        <v>0</v>
      </c>
      <c r="AD15" s="80">
        <f>(AD14-AD12-AD13)/118*18</f>
        <v>0</v>
      </c>
      <c r="AE15" s="80">
        <f>(AE14-AE12-AE13)/118*18</f>
        <v>0</v>
      </c>
      <c r="AF15" s="82">
        <f t="shared" si="6"/>
        <v>0</v>
      </c>
      <c r="AG15" s="80">
        <f>(AG14-AG12-AG13)/118*18</f>
        <v>0</v>
      </c>
      <c r="AH15" s="80">
        <f>(AH14-AH12-AH13)/118*18</f>
        <v>0</v>
      </c>
      <c r="AI15" s="80">
        <f>(AI14-AI12-AI13)/118*18</f>
        <v>0</v>
      </c>
      <c r="AJ15" s="80">
        <f>(AJ14-AJ12-AJ13)/118*18</f>
        <v>0</v>
      </c>
      <c r="AK15" s="82">
        <f t="shared" si="7"/>
        <v>0</v>
      </c>
      <c r="AL15" s="18"/>
      <c r="AM15" s="2"/>
      <c r="AN15" s="80">
        <f>(AN14-AN12-AN13)/118*18</f>
        <v>0</v>
      </c>
      <c r="AO15" s="80">
        <f>(AO14-AO12-AO13)/118*18</f>
        <v>0</v>
      </c>
      <c r="AP15" s="80">
        <f>(AP14-AP12-AP13)/118*18</f>
        <v>0</v>
      </c>
      <c r="AQ15" s="80">
        <f>(AQ14-AQ12-AQ13)/118*18</f>
        <v>0</v>
      </c>
      <c r="AR15" s="82">
        <f t="shared" si="8"/>
        <v>0</v>
      </c>
      <c r="AS15" s="80">
        <f>(AS14-AS12-AS13)/118*18</f>
        <v>0</v>
      </c>
      <c r="AT15" s="80">
        <f>(AT14-AT12-AT13)/118*18</f>
        <v>0</v>
      </c>
      <c r="AU15" s="80">
        <f>(AU14-AU12-AU13)/118*18</f>
        <v>0</v>
      </c>
      <c r="AV15" s="80">
        <f>(AV14-AV12-AV13)/118*18</f>
        <v>0</v>
      </c>
      <c r="AW15" s="82">
        <f t="shared" si="9"/>
        <v>0</v>
      </c>
      <c r="AX15" s="18"/>
      <c r="AY15" s="2"/>
      <c r="AZ15" s="92"/>
      <c r="BA15" s="92"/>
      <c r="BB15" s="92"/>
      <c r="BC15" s="92"/>
      <c r="BD15" s="92"/>
      <c r="BE15" s="92"/>
      <c r="BF15" s="92"/>
      <c r="BG15" s="92"/>
      <c r="BH15" s="92"/>
      <c r="BI15" s="92"/>
    </row>
    <row r="16" spans="1:61" ht="15" customHeight="1">
      <c r="A16" s="2"/>
      <c r="B16" s="2"/>
      <c r="C16" s="18"/>
      <c r="D16" s="93">
        <f>D14</f>
        <v>53250</v>
      </c>
      <c r="E16" s="93">
        <f>D16+E14</f>
        <v>106500</v>
      </c>
      <c r="F16" s="94">
        <f>E16+F14</f>
        <v>217750</v>
      </c>
      <c r="G16" s="94">
        <f>F16+G14</f>
        <v>329000</v>
      </c>
      <c r="H16" s="18"/>
      <c r="I16" s="94">
        <f>G16+I14</f>
        <v>329000</v>
      </c>
      <c r="J16" s="94">
        <f>I16+J14</f>
        <v>329000</v>
      </c>
      <c r="K16" s="94">
        <f>J16+K14</f>
        <v>329000</v>
      </c>
      <c r="L16" s="94">
        <f>K16+L14</f>
        <v>329000</v>
      </c>
      <c r="M16" s="35">
        <v>1</v>
      </c>
      <c r="N16" s="18"/>
      <c r="O16" s="2"/>
      <c r="P16" s="94">
        <f>L16+P14</f>
        <v>329000</v>
      </c>
      <c r="Q16" s="94">
        <f>P16+Q14</f>
        <v>329000</v>
      </c>
      <c r="R16" s="93">
        <f>Q16+R14</f>
        <v>329000</v>
      </c>
      <c r="S16" s="93">
        <f>R16+S14</f>
        <v>329000</v>
      </c>
      <c r="T16" s="35">
        <v>2</v>
      </c>
      <c r="U16" s="94">
        <f>S16+U14</f>
        <v>329000</v>
      </c>
      <c r="V16" s="94">
        <f>U16+V14</f>
        <v>329000</v>
      </c>
      <c r="W16" s="94">
        <f>V16+W14</f>
        <v>329000</v>
      </c>
      <c r="X16" s="94">
        <f>W16+X14</f>
        <v>329000</v>
      </c>
      <c r="Y16" s="35">
        <v>3</v>
      </c>
      <c r="Z16" s="2"/>
      <c r="AA16" s="2"/>
      <c r="AB16" s="95">
        <f>X16+AB14</f>
        <v>329000</v>
      </c>
      <c r="AC16" s="95">
        <f>AB16+AC14</f>
        <v>329000</v>
      </c>
      <c r="AD16" s="95">
        <f>AC16+AD14</f>
        <v>329000</v>
      </c>
      <c r="AE16" s="95">
        <f>AD16+AE14</f>
        <v>329000</v>
      </c>
      <c r="AF16" s="96">
        <v>4</v>
      </c>
      <c r="AG16" s="95">
        <f>AE16+AG14</f>
        <v>329000</v>
      </c>
      <c r="AH16" s="95">
        <f>AG16+AH14</f>
        <v>329000</v>
      </c>
      <c r="AI16" s="95">
        <f>AH16+AI14</f>
        <v>329000</v>
      </c>
      <c r="AJ16" s="95">
        <f>AI16+AJ14</f>
        <v>329000</v>
      </c>
      <c r="AK16" s="96">
        <v>5</v>
      </c>
      <c r="AL16" s="2"/>
      <c r="AM16" s="2"/>
      <c r="AN16" s="95">
        <f>AJ16+AN14</f>
        <v>329000</v>
      </c>
      <c r="AO16" s="95">
        <f>AN16+AO14</f>
        <v>329000</v>
      </c>
      <c r="AP16" s="95">
        <f>AO16+AP14</f>
        <v>329000</v>
      </c>
      <c r="AQ16" s="95">
        <f>AP16+AQ14</f>
        <v>329000</v>
      </c>
      <c r="AR16" s="96">
        <v>6</v>
      </c>
      <c r="AS16" s="95">
        <f>AQ16+AS14</f>
        <v>329000</v>
      </c>
      <c r="AT16" s="95">
        <f>AS16+AT14</f>
        <v>329000</v>
      </c>
      <c r="AU16" s="95">
        <f>AT16+AU14</f>
        <v>329000</v>
      </c>
      <c r="AV16" s="95">
        <f>AU16+AV14</f>
        <v>329000</v>
      </c>
      <c r="AW16" s="96">
        <v>7</v>
      </c>
      <c r="AX16" s="2"/>
      <c r="AY16" s="2"/>
      <c r="AZ16" s="95">
        <f>AV16+AZ14</f>
        <v>329000</v>
      </c>
      <c r="BA16" s="95">
        <f>AZ16+BA14</f>
        <v>329000</v>
      </c>
      <c r="BB16" s="95">
        <f>BA16+BB14</f>
        <v>329000</v>
      </c>
      <c r="BC16" s="95">
        <f>BB16+BC14</f>
        <v>329000</v>
      </c>
      <c r="BD16" s="96">
        <v>8</v>
      </c>
      <c r="BE16" s="95">
        <f>BC16+BE14</f>
        <v>329000</v>
      </c>
      <c r="BF16" s="95">
        <f>BE16+BF14</f>
        <v>329000</v>
      </c>
      <c r="BG16" s="95">
        <f>BF16+BG14</f>
        <v>329000</v>
      </c>
      <c r="BH16" s="95">
        <f>BG16+BH14</f>
        <v>329000</v>
      </c>
      <c r="BI16" s="96">
        <v>9</v>
      </c>
    </row>
    <row r="17" spans="1:61" ht="15" customHeight="1">
      <c r="A17" s="2"/>
      <c r="B17" s="2"/>
      <c r="C17" s="2"/>
      <c r="D17" s="96">
        <f>D16*'Т 11'!C6</f>
        <v>51734.790840013105</v>
      </c>
      <c r="E17" s="96">
        <f>D17+E14*'Т 11'!D6</f>
        <v>101997.48723926014</v>
      </c>
      <c r="F17" s="39">
        <f>E17+F14*'Т 11'!E6</f>
        <v>204018.41676781094</v>
      </c>
      <c r="G17" s="39">
        <f>F17+G14*'Т 11'!F6</f>
        <v>303136.37827885867</v>
      </c>
      <c r="H17" s="2"/>
      <c r="I17" s="39">
        <f>G17+I14*'Т 11'!H6</f>
        <v>303136.37827885867</v>
      </c>
      <c r="J17" s="39">
        <f>I17+J14*'Т 11'!I6</f>
        <v>303136.37827885867</v>
      </c>
      <c r="K17" s="39">
        <f>J17+K14*'Т 11'!J6</f>
        <v>303136.37827885867</v>
      </c>
      <c r="L17" s="39">
        <f>K17+L14*'Т 11'!K6</f>
        <v>303136.37827885867</v>
      </c>
      <c r="M17" s="2"/>
      <c r="N17" s="2"/>
      <c r="O17" s="2"/>
      <c r="P17" s="39">
        <f>L17+P14*'Т 11'!O6</f>
        <v>303136.37827885867</v>
      </c>
      <c r="Q17" s="39">
        <f>P17+Q14*'Т 11'!P6</f>
        <v>303136.37827885867</v>
      </c>
      <c r="R17" s="96">
        <f>Q17+R14*'Т 11'!Q6</f>
        <v>303136.37827885867</v>
      </c>
      <c r="S17" s="96">
        <f>R17+S14*'Т 11'!R6</f>
        <v>303136.37827885867</v>
      </c>
      <c r="T17" s="2"/>
      <c r="U17" s="39">
        <f>S17+U14*'Т 11'!T6</f>
        <v>303136.37827885867</v>
      </c>
      <c r="V17" s="39">
        <f>U17+V14*'Т 11'!U6</f>
        <v>303136.37827885867</v>
      </c>
      <c r="W17" s="39">
        <f>V17+W14*'Т 11'!V6</f>
        <v>303136.37827885867</v>
      </c>
      <c r="X17" s="39">
        <f>W17+X14*'Т 11'!W6</f>
        <v>303136.37827885867</v>
      </c>
      <c r="Y17" s="2"/>
      <c r="Z17" s="2"/>
      <c r="AA17" s="2"/>
      <c r="AB17" s="96">
        <f>X17+AB14*'Т 11'!AA6</f>
        <v>303136.37827885867</v>
      </c>
      <c r="AC17" s="96">
        <f>AB17+AC14*'Т 11'!AB6</f>
        <v>303136.37827885867</v>
      </c>
      <c r="AD17" s="96">
        <f>AC17+AD14*'Т 11'!AC6</f>
        <v>303136.37827885867</v>
      </c>
      <c r="AE17" s="96">
        <f>AD17+AE14*'Т 11'!AD6</f>
        <v>303136.37827885867</v>
      </c>
      <c r="AF17" s="97"/>
      <c r="AG17" s="96">
        <f>AC17+AG14*'Т 11'!AF6</f>
        <v>303136.37827885867</v>
      </c>
      <c r="AH17" s="96">
        <f>AG17+AH14*'Т 11'!AG6</f>
        <v>303136.37827885867</v>
      </c>
      <c r="AI17" s="96">
        <f>AH17+AI14*'Т 11'!AH6</f>
        <v>303136.37827885867</v>
      </c>
      <c r="AJ17" s="96">
        <f>AI17+AJ14*'Т 11'!AI6</f>
        <v>303136.37827885867</v>
      </c>
      <c r="AK17" s="97"/>
      <c r="AL17" s="2"/>
      <c r="AM17" s="2"/>
      <c r="AN17" s="96">
        <f>AJ17+AN14*'Т 11'!AY6</f>
        <v>303136.37827885867</v>
      </c>
      <c r="AO17" s="96">
        <f>AN17+AO14*'Т 11'!AZ6</f>
        <v>303136.37827885867</v>
      </c>
      <c r="AP17" s="96">
        <f>AO17+AP14*'Т 11'!BA6</f>
        <v>303136.37827885867</v>
      </c>
      <c r="AQ17" s="96">
        <f>AP17+AQ14*'Т 11'!BB6</f>
        <v>303136.37827885867</v>
      </c>
      <c r="AR17" s="97"/>
      <c r="AS17" s="96">
        <f>AO17+AS14*'Т 11'!BD6</f>
        <v>303136.37827885867</v>
      </c>
      <c r="AT17" s="96">
        <f>AS17+AT14*'Т 11'!BE6</f>
        <v>303136.37827885867</v>
      </c>
      <c r="AU17" s="96">
        <f>AT17+AU14*'Т 11'!BF6</f>
        <v>303136.37827885867</v>
      </c>
      <c r="AV17" s="96">
        <f>AU17+AV14*'Т 11'!BG6</f>
        <v>303136.37827885867</v>
      </c>
      <c r="AW17" s="97"/>
      <c r="AX17" s="2"/>
      <c r="AY17" s="2"/>
      <c r="AZ17" s="96">
        <f>AV17+AZ14*'Т 11'!BK6</f>
        <v>303136.37827885867</v>
      </c>
      <c r="BA17" s="96">
        <f>AZ17+BA14*'Т 11'!BL6</f>
        <v>303136.37827885867</v>
      </c>
      <c r="BB17" s="96">
        <f>BA17+BB14*'Т 11'!BM6</f>
        <v>303136.37827885867</v>
      </c>
      <c r="BC17" s="96">
        <f>BB17+BC14*'Т 11'!BN6</f>
        <v>303136.37827885867</v>
      </c>
      <c r="BD17" s="97"/>
      <c r="BE17" s="96">
        <f>BA17+BE14*'Т 11'!BP6</f>
        <v>303136.37827885867</v>
      </c>
      <c r="BF17" s="96">
        <f>BE17+BF14*'Т 11'!BQ6</f>
        <v>303136.37827885867</v>
      </c>
      <c r="BG17" s="96">
        <f>BF17+BG14*'Т 11'!BR6</f>
        <v>303136.37827885867</v>
      </c>
      <c r="BH17" s="96">
        <f>BG17+BH14*'Т 11'!BS6</f>
        <v>303136.37827885867</v>
      </c>
      <c r="BI17" s="97"/>
    </row>
    <row r="18" spans="1:61" ht="15" customHeight="1">
      <c r="A18" s="2"/>
      <c r="B18" s="24" t="s">
        <v>0</v>
      </c>
      <c r="C18" s="3"/>
      <c r="D18" s="97"/>
      <c r="E18" s="9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97"/>
      <c r="S18" s="97"/>
      <c r="T18" s="2"/>
      <c r="U18" s="2"/>
      <c r="V18" s="2"/>
      <c r="W18" s="2"/>
      <c r="X18" s="2"/>
      <c r="Y18" s="2"/>
      <c r="Z18" s="2"/>
      <c r="AA18" s="2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2"/>
      <c r="AM18" s="2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2"/>
      <c r="AY18" s="2"/>
      <c r="AZ18" s="97"/>
      <c r="BA18" s="97"/>
      <c r="BB18" s="97"/>
      <c r="BC18" s="97"/>
      <c r="BD18" s="97"/>
      <c r="BE18" s="97"/>
      <c r="BF18" s="97"/>
      <c r="BG18" s="97"/>
      <c r="BH18" s="97"/>
      <c r="BI18" s="97"/>
    </row>
    <row r="19" spans="1:61" ht="15" customHeight="1">
      <c r="A19" s="2"/>
      <c r="B19" s="99" t="s">
        <v>76</v>
      </c>
      <c r="C19" s="100">
        <v>130000</v>
      </c>
      <c r="D19" s="101"/>
      <c r="E19" s="97"/>
      <c r="F19" s="2"/>
      <c r="G19" s="2"/>
      <c r="H19" s="2"/>
      <c r="I19" s="2"/>
      <c r="J19" s="102"/>
      <c r="K19" s="2"/>
      <c r="L19" s="2"/>
      <c r="M19" s="2"/>
      <c r="N19" s="2"/>
      <c r="O19" s="2"/>
      <c r="P19" s="2"/>
      <c r="Q19" s="2"/>
      <c r="R19" s="97"/>
      <c r="S19" s="97"/>
      <c r="T19" s="2"/>
      <c r="U19" s="2"/>
      <c r="V19" s="2"/>
      <c r="W19" s="2"/>
      <c r="X19" s="2"/>
      <c r="Y19" s="2"/>
      <c r="Z19" s="2"/>
      <c r="AA19" s="2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2"/>
      <c r="AM19" s="2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2"/>
      <c r="AY19" s="2"/>
      <c r="AZ19" s="97"/>
      <c r="BA19" s="97"/>
      <c r="BB19" s="97"/>
      <c r="BC19" s="97"/>
      <c r="BD19" s="97"/>
      <c r="BE19" s="97"/>
      <c r="BF19" s="97"/>
      <c r="BG19" s="97"/>
      <c r="BH19" s="97"/>
      <c r="BI19" s="97"/>
    </row>
    <row r="20" spans="1:61" ht="15" customHeight="1">
      <c r="A20" s="2"/>
      <c r="B20" s="99" t="s">
        <v>77</v>
      </c>
      <c r="C20" s="100">
        <v>74000</v>
      </c>
      <c r="D20" s="101"/>
      <c r="E20" s="97"/>
      <c r="F20" s="2"/>
      <c r="G20" s="2"/>
      <c r="H20" s="2"/>
      <c r="I20" s="2"/>
      <c r="J20" s="103"/>
      <c r="K20" s="102"/>
      <c r="L20" s="2"/>
      <c r="M20" s="2"/>
      <c r="N20" s="2"/>
      <c r="O20" s="2"/>
      <c r="P20" s="2"/>
      <c r="Q20" s="2"/>
      <c r="R20" s="97"/>
      <c r="S20" s="97"/>
      <c r="T20" s="2"/>
      <c r="U20" s="2"/>
      <c r="V20" s="2"/>
      <c r="W20" s="2"/>
      <c r="X20" s="2"/>
      <c r="Y20" s="2"/>
      <c r="Z20" s="2"/>
      <c r="AA20" s="2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2"/>
      <c r="AM20" s="2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2"/>
      <c r="AY20" s="2"/>
      <c r="AZ20" s="97"/>
      <c r="BA20" s="97"/>
      <c r="BB20" s="97"/>
      <c r="BC20" s="97"/>
      <c r="BD20" s="97"/>
      <c r="BE20" s="97"/>
      <c r="BF20" s="97"/>
      <c r="BG20" s="97"/>
      <c r="BH20" s="97"/>
      <c r="BI20" s="97"/>
    </row>
    <row r="21" spans="1:61" ht="15" customHeight="1">
      <c r="A21" s="2"/>
      <c r="B21" s="99" t="s">
        <v>78</v>
      </c>
      <c r="C21" s="100">
        <v>110000</v>
      </c>
      <c r="D21" s="101"/>
      <c r="E21" s="97"/>
      <c r="F21" s="2"/>
      <c r="G21" s="2"/>
      <c r="H21" s="2"/>
      <c r="I21" s="2"/>
      <c r="J21" s="103"/>
      <c r="K21" s="102"/>
      <c r="L21" s="2"/>
      <c r="M21" s="2"/>
      <c r="N21" s="2"/>
      <c r="O21" s="2"/>
      <c r="P21" s="2"/>
      <c r="Q21" s="2"/>
      <c r="R21" s="97"/>
      <c r="S21" s="97"/>
      <c r="T21" s="2"/>
      <c r="U21" s="2"/>
      <c r="V21" s="2"/>
      <c r="W21" s="2"/>
      <c r="X21" s="2"/>
      <c r="Y21" s="2"/>
      <c r="Z21" s="2"/>
      <c r="AA21" s="2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2"/>
      <c r="AM21" s="2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2"/>
      <c r="AY21" s="2"/>
      <c r="AZ21" s="97"/>
      <c r="BA21" s="97"/>
      <c r="BB21" s="97"/>
      <c r="BC21" s="97"/>
      <c r="BD21" s="97"/>
      <c r="BE21" s="97"/>
      <c r="BF21" s="97"/>
      <c r="BG21" s="97"/>
      <c r="BH21" s="97"/>
      <c r="BI21" s="97"/>
    </row>
    <row r="22" spans="1:61" ht="15" customHeight="1">
      <c r="A22" s="2"/>
      <c r="B22" s="99" t="s">
        <v>79</v>
      </c>
      <c r="C22" s="100">
        <v>8304.5</v>
      </c>
      <c r="D22" s="101"/>
      <c r="E22" s="97"/>
      <c r="F22" s="2"/>
      <c r="G22" s="2"/>
      <c r="H22" s="2"/>
      <c r="I22" s="2"/>
      <c r="J22" s="103"/>
      <c r="K22" s="102"/>
      <c r="L22" s="2"/>
      <c r="M22" s="2"/>
      <c r="N22" s="2"/>
      <c r="O22" s="2"/>
      <c r="P22" s="2"/>
      <c r="Q22" s="2"/>
      <c r="R22" s="97"/>
      <c r="S22" s="97"/>
      <c r="T22" s="2"/>
      <c r="U22" s="2"/>
      <c r="V22" s="2"/>
      <c r="W22" s="2"/>
      <c r="X22" s="2"/>
      <c r="Y22" s="2"/>
      <c r="Z22" s="2"/>
      <c r="AA22" s="2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2"/>
      <c r="AM22" s="2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2"/>
      <c r="AY22" s="2"/>
      <c r="AZ22" s="97"/>
      <c r="BA22" s="97"/>
      <c r="BB22" s="97"/>
      <c r="BC22" s="97"/>
      <c r="BD22" s="97"/>
      <c r="BE22" s="97"/>
      <c r="BF22" s="97"/>
      <c r="BG22" s="97"/>
      <c r="BH22" s="97"/>
      <c r="BI22" s="97"/>
    </row>
    <row r="23" spans="1:61" ht="15" customHeight="1">
      <c r="A23" s="2"/>
      <c r="B23" s="104"/>
      <c r="C23" s="105"/>
      <c r="D23" s="101"/>
      <c r="E23" s="97"/>
      <c r="F23" s="2"/>
      <c r="G23" s="2"/>
      <c r="H23" s="2"/>
      <c r="I23" s="2"/>
      <c r="J23" s="103"/>
      <c r="K23" s="102"/>
      <c r="L23" s="2"/>
      <c r="M23" s="2"/>
      <c r="N23" s="2"/>
      <c r="O23" s="2"/>
      <c r="P23" s="2"/>
      <c r="Q23" s="2"/>
      <c r="R23" s="97"/>
      <c r="S23" s="97"/>
      <c r="T23" s="2"/>
      <c r="U23" s="2"/>
      <c r="V23" s="2"/>
      <c r="W23" s="2"/>
      <c r="X23" s="2"/>
      <c r="Y23" s="2"/>
      <c r="Z23" s="2"/>
      <c r="AA23" s="2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2"/>
      <c r="AM23" s="2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2"/>
      <c r="AY23" s="2"/>
      <c r="AZ23" s="97"/>
      <c r="BA23" s="97"/>
      <c r="BB23" s="97"/>
      <c r="BC23" s="97"/>
      <c r="BD23" s="97"/>
      <c r="BE23" s="97"/>
      <c r="BF23" s="97"/>
      <c r="BG23" s="97"/>
      <c r="BH23" s="97"/>
      <c r="BI23" s="97"/>
    </row>
    <row r="24" spans="1:61" ht="15" customHeight="1">
      <c r="A24" s="2"/>
      <c r="B24" s="2"/>
      <c r="C24" s="65"/>
      <c r="D24" s="97"/>
      <c r="E24" s="97"/>
      <c r="F24" s="2"/>
      <c r="G24" s="2"/>
      <c r="H24" s="2"/>
      <c r="I24" s="2"/>
      <c r="J24" s="106"/>
      <c r="K24" s="107"/>
      <c r="L24" s="2"/>
      <c r="M24" s="2"/>
      <c r="N24" s="2"/>
      <c r="O24" s="2"/>
      <c r="P24" s="2"/>
      <c r="Q24" s="2"/>
      <c r="R24" s="97"/>
      <c r="S24" s="97"/>
      <c r="T24" s="2"/>
      <c r="U24" s="2"/>
      <c r="V24" s="2"/>
      <c r="W24" s="2"/>
      <c r="X24" s="2"/>
      <c r="Y24" s="2"/>
      <c r="Z24" s="2"/>
      <c r="AA24" s="2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2"/>
      <c r="AM24" s="2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2"/>
      <c r="AY24" s="2"/>
      <c r="AZ24" s="97"/>
      <c r="BA24" s="97"/>
      <c r="BB24" s="97"/>
      <c r="BC24" s="97"/>
      <c r="BD24" s="97"/>
      <c r="BE24" s="97"/>
      <c r="BF24" s="97"/>
      <c r="BG24" s="97"/>
      <c r="BH24" s="97"/>
      <c r="BI24" s="97"/>
    </row>
  </sheetData>
  <mergeCells count="37">
    <mergeCell ref="AZ3:BI3"/>
    <mergeCell ref="AZ4:BD4"/>
    <mergeCell ref="BE4:BI4"/>
    <mergeCell ref="AX1:BI1"/>
    <mergeCell ref="Z1:AK1"/>
    <mergeCell ref="AL1:AW1"/>
    <mergeCell ref="AY3:AY5"/>
    <mergeCell ref="AM3:AM5"/>
    <mergeCell ref="AB3:AK3"/>
    <mergeCell ref="AG4:AK4"/>
    <mergeCell ref="AX3:AX5"/>
    <mergeCell ref="Z3:Z5"/>
    <mergeCell ref="AA3:AA5"/>
    <mergeCell ref="AX7:AX11"/>
    <mergeCell ref="AN4:AR4"/>
    <mergeCell ref="AS4:AW4"/>
    <mergeCell ref="AL3:AL5"/>
    <mergeCell ref="AB4:AF4"/>
    <mergeCell ref="AL7:AL11"/>
    <mergeCell ref="AN3:AW3"/>
    <mergeCell ref="Z7:Z11"/>
    <mergeCell ref="D3:M3"/>
    <mergeCell ref="N3:N5"/>
    <mergeCell ref="O3:O5"/>
    <mergeCell ref="P3:Y3"/>
    <mergeCell ref="D4:H4"/>
    <mergeCell ref="I4:M4"/>
    <mergeCell ref="P4:T4"/>
    <mergeCell ref="U4:Y4"/>
    <mergeCell ref="A1:M1"/>
    <mergeCell ref="N1:Y1"/>
    <mergeCell ref="A2:M2"/>
    <mergeCell ref="A7:A11"/>
    <mergeCell ref="N7:N11"/>
    <mergeCell ref="A3:A5"/>
    <mergeCell ref="B3:B5"/>
    <mergeCell ref="C3:C5"/>
  </mergeCells>
  <pageMargins left="0.78740200000000005" right="0.78740200000000005" top="1.1811" bottom="0.59055100000000005" header="0.51181100000000002" footer="0.51181100000000002"/>
  <pageSetup scale="87"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showGridLines="0" workbookViewId="0">
      <selection activeCell="A15" sqref="A15"/>
    </sheetView>
  </sheetViews>
  <sheetFormatPr defaultColWidth="9" defaultRowHeight="13.2" customHeight="1"/>
  <cols>
    <col min="1" max="1" width="4.5546875" style="108" customWidth="1"/>
    <col min="2" max="2" width="28.44140625" style="108" customWidth="1"/>
    <col min="3" max="7" width="9" style="108" customWidth="1"/>
    <col min="8" max="8" width="13.88671875" style="108" customWidth="1"/>
    <col min="9" max="13" width="9" style="108" customWidth="1"/>
    <col min="14" max="14" width="4.5546875" style="108" customWidth="1"/>
    <col min="15" max="15" width="28.44140625" style="108" customWidth="1"/>
    <col min="16" max="20" width="9" style="108" customWidth="1"/>
    <col min="21" max="24" width="9.109375" style="108" customWidth="1"/>
    <col min="25" max="256" width="9" style="108" customWidth="1"/>
  </cols>
  <sheetData>
    <row r="1" spans="1:49" ht="15" customHeight="1">
      <c r="A1" s="285" t="s">
        <v>80</v>
      </c>
      <c r="B1" s="286"/>
      <c r="C1" s="287"/>
      <c r="D1" s="287"/>
      <c r="E1" s="287"/>
      <c r="F1" s="287"/>
      <c r="G1" s="287"/>
      <c r="H1" s="286"/>
      <c r="I1" s="287"/>
      <c r="J1" s="287"/>
      <c r="K1" s="287"/>
      <c r="L1" s="287"/>
      <c r="M1" s="287"/>
      <c r="N1" s="285" t="s">
        <v>81</v>
      </c>
      <c r="O1" s="286"/>
      <c r="P1" s="287"/>
      <c r="Q1" s="287"/>
      <c r="R1" s="287"/>
      <c r="S1" s="287"/>
      <c r="T1" s="287"/>
      <c r="U1" s="286"/>
      <c r="V1" s="286"/>
      <c r="W1" s="286"/>
      <c r="X1" s="286"/>
      <c r="Y1" s="28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</row>
    <row r="2" spans="1:49" ht="15" customHeight="1">
      <c r="A2" s="288" t="s">
        <v>82</v>
      </c>
      <c r="B2" s="289"/>
      <c r="C2" s="290"/>
      <c r="D2" s="290"/>
      <c r="E2" s="290"/>
      <c r="F2" s="290"/>
      <c r="G2" s="290"/>
      <c r="H2" s="289"/>
      <c r="I2" s="290"/>
      <c r="J2" s="290"/>
      <c r="K2" s="290"/>
      <c r="L2" s="290"/>
      <c r="M2" s="290"/>
      <c r="N2" s="310" t="s">
        <v>83</v>
      </c>
      <c r="O2" s="311"/>
      <c r="P2" s="312"/>
      <c r="Q2" s="312"/>
      <c r="R2" s="312"/>
      <c r="S2" s="312"/>
      <c r="T2" s="312"/>
      <c r="U2" s="311"/>
      <c r="V2" s="311"/>
      <c r="W2" s="311"/>
      <c r="X2" s="311"/>
      <c r="Y2" s="312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</row>
    <row r="3" spans="1:49" ht="12.75" customHeight="1">
      <c r="A3" s="293" t="s">
        <v>53</v>
      </c>
      <c r="B3" s="293" t="s">
        <v>84</v>
      </c>
      <c r="C3" s="293" t="s">
        <v>55</v>
      </c>
      <c r="D3" s="305" t="s">
        <v>56</v>
      </c>
      <c r="E3" s="306"/>
      <c r="F3" s="306"/>
      <c r="G3" s="306"/>
      <c r="H3" s="306"/>
      <c r="I3" s="306"/>
      <c r="J3" s="306"/>
      <c r="K3" s="306"/>
      <c r="L3" s="306"/>
      <c r="M3" s="307"/>
      <c r="N3" s="293" t="s">
        <v>53</v>
      </c>
      <c r="O3" s="293" t="str">
        <f>B3</f>
        <v>Наименование источников</v>
      </c>
      <c r="P3" s="305" t="s">
        <v>56</v>
      </c>
      <c r="Q3" s="306"/>
      <c r="R3" s="306"/>
      <c r="S3" s="306"/>
      <c r="T3" s="306"/>
      <c r="U3" s="306"/>
      <c r="V3" s="306"/>
      <c r="W3" s="306"/>
      <c r="X3" s="306"/>
      <c r="Y3" s="307"/>
      <c r="Z3" s="109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</row>
    <row r="4" spans="1:49" ht="15" customHeight="1">
      <c r="A4" s="294"/>
      <c r="B4" s="294"/>
      <c r="C4" s="294"/>
      <c r="D4" s="308" t="str">
        <f>'Т 1'!D4:H4</f>
        <v>2021 год</v>
      </c>
      <c r="E4" s="309"/>
      <c r="F4" s="309"/>
      <c r="G4" s="309"/>
      <c r="H4" s="309"/>
      <c r="I4" s="308" t="str">
        <f>'Т 1'!I4:M4</f>
        <v>2022 год</v>
      </c>
      <c r="J4" s="309"/>
      <c r="K4" s="309"/>
      <c r="L4" s="309"/>
      <c r="M4" s="309"/>
      <c r="N4" s="294"/>
      <c r="O4" s="294"/>
      <c r="P4" s="308" t="str">
        <f>'Т 1'!P4:T4</f>
        <v>2023 год</v>
      </c>
      <c r="Q4" s="309"/>
      <c r="R4" s="309"/>
      <c r="S4" s="309"/>
      <c r="T4" s="309"/>
      <c r="U4" s="308" t="str">
        <f>'Т 1'!U4:Y4</f>
        <v>2024 год</v>
      </c>
      <c r="V4" s="309"/>
      <c r="W4" s="309"/>
      <c r="X4" s="309"/>
      <c r="Y4" s="309"/>
      <c r="Z4" s="109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</row>
    <row r="5" spans="1:49" ht="15" customHeight="1">
      <c r="A5" s="294"/>
      <c r="B5" s="294"/>
      <c r="C5" s="294"/>
      <c r="D5" s="110" t="s">
        <v>58</v>
      </c>
      <c r="E5" s="110" t="s">
        <v>59</v>
      </c>
      <c r="F5" s="110" t="s">
        <v>60</v>
      </c>
      <c r="G5" s="110" t="s">
        <v>61</v>
      </c>
      <c r="H5" s="110" t="s">
        <v>62</v>
      </c>
      <c r="I5" s="110" t="s">
        <v>58</v>
      </c>
      <c r="J5" s="110" t="s">
        <v>59</v>
      </c>
      <c r="K5" s="110" t="s">
        <v>60</v>
      </c>
      <c r="L5" s="110" t="s">
        <v>61</v>
      </c>
      <c r="M5" s="110" t="s">
        <v>62</v>
      </c>
      <c r="N5" s="294"/>
      <c r="O5" s="294"/>
      <c r="P5" s="110" t="s">
        <v>58</v>
      </c>
      <c r="Q5" s="110" t="s">
        <v>59</v>
      </c>
      <c r="R5" s="110" t="s">
        <v>60</v>
      </c>
      <c r="S5" s="110" t="s">
        <v>61</v>
      </c>
      <c r="T5" s="110" t="s">
        <v>62</v>
      </c>
      <c r="U5" s="110" t="s">
        <v>58</v>
      </c>
      <c r="V5" s="110" t="s">
        <v>59</v>
      </c>
      <c r="W5" s="110" t="s">
        <v>60</v>
      </c>
      <c r="X5" s="110" t="s">
        <v>61</v>
      </c>
      <c r="Y5" s="110" t="s">
        <v>62</v>
      </c>
      <c r="Z5" s="109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</row>
    <row r="6" spans="1:49" ht="15" customHeight="1">
      <c r="A6" s="75">
        <v>1</v>
      </c>
      <c r="B6" s="75">
        <f t="shared" ref="B6:M6" si="0">A6+1</f>
        <v>2</v>
      </c>
      <c r="C6" s="76">
        <f t="shared" si="0"/>
        <v>3</v>
      </c>
      <c r="D6" s="76">
        <f t="shared" si="0"/>
        <v>4</v>
      </c>
      <c r="E6" s="76">
        <f t="shared" si="0"/>
        <v>5</v>
      </c>
      <c r="F6" s="76">
        <f t="shared" si="0"/>
        <v>6</v>
      </c>
      <c r="G6" s="76">
        <f t="shared" si="0"/>
        <v>7</v>
      </c>
      <c r="H6" s="75">
        <f t="shared" si="0"/>
        <v>8</v>
      </c>
      <c r="I6" s="76">
        <f t="shared" si="0"/>
        <v>9</v>
      </c>
      <c r="J6" s="76">
        <f t="shared" si="0"/>
        <v>10</v>
      </c>
      <c r="K6" s="76">
        <f t="shared" si="0"/>
        <v>11</v>
      </c>
      <c r="L6" s="76">
        <f t="shared" si="0"/>
        <v>12</v>
      </c>
      <c r="M6" s="76">
        <f t="shared" si="0"/>
        <v>13</v>
      </c>
      <c r="N6" s="75">
        <f>A6</f>
        <v>1</v>
      </c>
      <c r="O6" s="75">
        <f>B6</f>
        <v>2</v>
      </c>
      <c r="P6" s="76">
        <f>M6+1</f>
        <v>14</v>
      </c>
      <c r="Q6" s="76">
        <f t="shared" ref="Q6:Y6" si="1">P6+1</f>
        <v>15</v>
      </c>
      <c r="R6" s="76">
        <f t="shared" si="1"/>
        <v>16</v>
      </c>
      <c r="S6" s="76">
        <f t="shared" si="1"/>
        <v>17</v>
      </c>
      <c r="T6" s="76">
        <f t="shared" si="1"/>
        <v>18</v>
      </c>
      <c r="U6" s="75">
        <f t="shared" si="1"/>
        <v>19</v>
      </c>
      <c r="V6" s="75">
        <f t="shared" si="1"/>
        <v>20</v>
      </c>
      <c r="W6" s="75">
        <f t="shared" si="1"/>
        <v>21</v>
      </c>
      <c r="X6" s="75">
        <f t="shared" si="1"/>
        <v>22</v>
      </c>
      <c r="Y6" s="76">
        <f t="shared" si="1"/>
        <v>23</v>
      </c>
      <c r="Z6" s="109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</row>
    <row r="7" spans="1:49" ht="15" customHeight="1">
      <c r="A7" s="111" t="s">
        <v>63</v>
      </c>
      <c r="B7" s="112" t="s">
        <v>85</v>
      </c>
      <c r="C7" s="113">
        <f>H7+M7+T7+Y7</f>
        <v>329000</v>
      </c>
      <c r="D7" s="114">
        <f t="shared" ref="D7:M7" si="2">D8+D9+D11</f>
        <v>53250</v>
      </c>
      <c r="E7" s="114">
        <f t="shared" si="2"/>
        <v>53250</v>
      </c>
      <c r="F7" s="114">
        <f t="shared" si="2"/>
        <v>111250</v>
      </c>
      <c r="G7" s="114">
        <f t="shared" si="2"/>
        <v>111250</v>
      </c>
      <c r="H7" s="82">
        <f t="shared" si="2"/>
        <v>329000</v>
      </c>
      <c r="I7" s="81">
        <f t="shared" si="2"/>
        <v>0</v>
      </c>
      <c r="J7" s="81">
        <f t="shared" si="2"/>
        <v>0</v>
      </c>
      <c r="K7" s="81">
        <f t="shared" si="2"/>
        <v>0</v>
      </c>
      <c r="L7" s="81">
        <f t="shared" si="2"/>
        <v>0</v>
      </c>
      <c r="M7" s="115">
        <f t="shared" si="2"/>
        <v>0</v>
      </c>
      <c r="N7" s="111" t="s">
        <v>63</v>
      </c>
      <c r="O7" s="112" t="str">
        <f t="shared" ref="O7:O16" si="3">B7</f>
        <v>Собственные средства, в т.ч.:</v>
      </c>
      <c r="P7" s="81">
        <f t="shared" ref="P7:Y7" si="4">P8+P9+P11</f>
        <v>0</v>
      </c>
      <c r="Q7" s="81">
        <f t="shared" si="4"/>
        <v>0</v>
      </c>
      <c r="R7" s="81">
        <f t="shared" si="4"/>
        <v>0</v>
      </c>
      <c r="S7" s="81">
        <f t="shared" si="4"/>
        <v>0</v>
      </c>
      <c r="T7" s="115">
        <f t="shared" si="4"/>
        <v>0</v>
      </c>
      <c r="U7" s="80">
        <f t="shared" si="4"/>
        <v>0</v>
      </c>
      <c r="V7" s="80">
        <f t="shared" si="4"/>
        <v>0</v>
      </c>
      <c r="W7" s="80">
        <f t="shared" si="4"/>
        <v>0</v>
      </c>
      <c r="X7" s="80">
        <f t="shared" si="4"/>
        <v>0</v>
      </c>
      <c r="Y7" s="115">
        <f t="shared" si="4"/>
        <v>0</v>
      </c>
      <c r="Z7" s="109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</row>
    <row r="8" spans="1:49" ht="15" customHeight="1">
      <c r="A8" s="85" t="s">
        <v>86</v>
      </c>
      <c r="B8" s="116" t="s">
        <v>87</v>
      </c>
      <c r="C8" s="114">
        <f>H8+M8+T8+Y8</f>
        <v>329000</v>
      </c>
      <c r="D8" s="114">
        <f>'Т 1'!D14</f>
        <v>53250</v>
      </c>
      <c r="E8" s="114">
        <f>'Т 1'!E14</f>
        <v>53250</v>
      </c>
      <c r="F8" s="114">
        <f>'Т 1'!F14</f>
        <v>111250</v>
      </c>
      <c r="G8" s="114">
        <f>'Т 1'!G14</f>
        <v>111250</v>
      </c>
      <c r="H8" s="80">
        <f t="shared" ref="H8:H15" si="5">D8+E8+F8+G8</f>
        <v>329000</v>
      </c>
      <c r="I8" s="81">
        <f>'Т 1'!I14</f>
        <v>0</v>
      </c>
      <c r="J8" s="81">
        <f>'Т 1'!J14</f>
        <v>0</v>
      </c>
      <c r="K8" s="81">
        <f>'Т 1'!K14</f>
        <v>0</v>
      </c>
      <c r="L8" s="81">
        <f>'Т 1'!L14</f>
        <v>0</v>
      </c>
      <c r="M8" s="81">
        <f t="shared" ref="M8:M15" si="6">I8+J8+K8+L8</f>
        <v>0</v>
      </c>
      <c r="N8" s="85" t="s">
        <v>86</v>
      </c>
      <c r="O8" s="116" t="str">
        <f t="shared" si="3"/>
        <v>взнос в уставный капитал</v>
      </c>
      <c r="P8" s="81">
        <v>0</v>
      </c>
      <c r="Q8" s="81">
        <v>0</v>
      </c>
      <c r="R8" s="81">
        <f>'Т 1'!R14</f>
        <v>0</v>
      </c>
      <c r="S8" s="81">
        <f>'Т 1'!S14</f>
        <v>0</v>
      </c>
      <c r="T8" s="81">
        <f t="shared" ref="T8:T15" si="7">P8+Q8+R8+S8</f>
        <v>0</v>
      </c>
      <c r="U8" s="80">
        <f>'Т 1'!U14</f>
        <v>0</v>
      </c>
      <c r="V8" s="80">
        <f>'Т 1'!V14</f>
        <v>0</v>
      </c>
      <c r="W8" s="80">
        <f>'Т 1'!W14</f>
        <v>0</v>
      </c>
      <c r="X8" s="80">
        <f>'Т 1'!X14</f>
        <v>0</v>
      </c>
      <c r="Y8" s="81">
        <f t="shared" ref="Y8:Y15" si="8">U8+V8+W8+X8</f>
        <v>0</v>
      </c>
      <c r="Z8" s="109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</row>
    <row r="9" spans="1:49" ht="15" customHeight="1">
      <c r="A9" s="85" t="s">
        <v>88</v>
      </c>
      <c r="B9" s="116" t="s">
        <v>89</v>
      </c>
      <c r="C9" s="114">
        <f>H9+M9+T9+Y9</f>
        <v>0</v>
      </c>
      <c r="D9" s="114">
        <v>0</v>
      </c>
      <c r="E9" s="114">
        <v>0</v>
      </c>
      <c r="F9" s="114">
        <v>0</v>
      </c>
      <c r="G9" s="114">
        <v>0</v>
      </c>
      <c r="H9" s="80">
        <f t="shared" si="5"/>
        <v>0</v>
      </c>
      <c r="I9" s="81">
        <v>0</v>
      </c>
      <c r="J9" s="81">
        <v>0</v>
      </c>
      <c r="K9" s="81">
        <v>0</v>
      </c>
      <c r="L9" s="81">
        <v>0</v>
      </c>
      <c r="M9" s="81">
        <f t="shared" si="6"/>
        <v>0</v>
      </c>
      <c r="N9" s="85" t="s">
        <v>88</v>
      </c>
      <c r="O9" s="116" t="str">
        <f t="shared" si="3"/>
        <v>выручка от реализации активов</v>
      </c>
      <c r="P9" s="81">
        <v>0</v>
      </c>
      <c r="Q9" s="81">
        <v>0</v>
      </c>
      <c r="R9" s="81">
        <v>0</v>
      </c>
      <c r="S9" s="81">
        <v>0</v>
      </c>
      <c r="T9" s="81">
        <f t="shared" si="7"/>
        <v>0</v>
      </c>
      <c r="U9" s="80">
        <v>0</v>
      </c>
      <c r="V9" s="80">
        <v>0</v>
      </c>
      <c r="W9" s="80">
        <v>0</v>
      </c>
      <c r="X9" s="80">
        <v>0</v>
      </c>
      <c r="Y9" s="81">
        <f t="shared" si="8"/>
        <v>0</v>
      </c>
      <c r="Z9" s="117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</row>
    <row r="10" spans="1:49" ht="15" customHeight="1">
      <c r="A10" s="119" t="s">
        <v>90</v>
      </c>
      <c r="B10" s="120" t="s">
        <v>91</v>
      </c>
      <c r="C10" s="114">
        <f>H9+M9+T9+Y9</f>
        <v>0</v>
      </c>
      <c r="D10" s="114">
        <v>0</v>
      </c>
      <c r="E10" s="114">
        <v>0</v>
      </c>
      <c r="F10" s="114">
        <v>0</v>
      </c>
      <c r="G10" s="114">
        <v>0</v>
      </c>
      <c r="H10" s="80">
        <f t="shared" si="5"/>
        <v>0</v>
      </c>
      <c r="I10" s="81">
        <v>0</v>
      </c>
      <c r="J10" s="81">
        <v>0</v>
      </c>
      <c r="K10" s="81">
        <v>0</v>
      </c>
      <c r="L10" s="81">
        <v>0</v>
      </c>
      <c r="M10" s="81">
        <f t="shared" si="6"/>
        <v>0</v>
      </c>
      <c r="N10" s="119" t="str">
        <f>A10</f>
        <v>1.3.</v>
      </c>
      <c r="O10" s="119" t="str">
        <f t="shared" si="3"/>
        <v>амортизационные отчисления</v>
      </c>
      <c r="P10" s="81">
        <v>0</v>
      </c>
      <c r="Q10" s="81">
        <v>0</v>
      </c>
      <c r="R10" s="81">
        <v>0</v>
      </c>
      <c r="S10" s="81">
        <v>0</v>
      </c>
      <c r="T10" s="81">
        <f t="shared" si="7"/>
        <v>0</v>
      </c>
      <c r="U10" s="80">
        <v>0</v>
      </c>
      <c r="V10" s="80">
        <v>0</v>
      </c>
      <c r="W10" s="80">
        <v>0</v>
      </c>
      <c r="X10" s="80">
        <v>0</v>
      </c>
      <c r="Y10" s="81">
        <f t="shared" si="8"/>
        <v>0</v>
      </c>
      <c r="Z10" s="121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3"/>
    </row>
    <row r="11" spans="1:49" ht="13.5" customHeight="1">
      <c r="A11" s="85" t="s">
        <v>92</v>
      </c>
      <c r="B11" s="116" t="s">
        <v>67</v>
      </c>
      <c r="C11" s="114">
        <f>H9+M9+T9+Y9</f>
        <v>0</v>
      </c>
      <c r="D11" s="114">
        <v>0</v>
      </c>
      <c r="E11" s="114">
        <v>0</v>
      </c>
      <c r="F11" s="114">
        <v>0</v>
      </c>
      <c r="G11" s="114">
        <v>0</v>
      </c>
      <c r="H11" s="80">
        <f t="shared" si="5"/>
        <v>0</v>
      </c>
      <c r="I11" s="81">
        <v>0</v>
      </c>
      <c r="J11" s="81">
        <v>0</v>
      </c>
      <c r="K11" s="81">
        <v>0</v>
      </c>
      <c r="L11" s="81">
        <v>0</v>
      </c>
      <c r="M11" s="81">
        <f t="shared" si="6"/>
        <v>0</v>
      </c>
      <c r="N11" s="85" t="str">
        <f>A11</f>
        <v>1.4.</v>
      </c>
      <c r="O11" s="116" t="str">
        <f t="shared" si="3"/>
        <v>прочее</v>
      </c>
      <c r="P11" s="81">
        <v>0</v>
      </c>
      <c r="Q11" s="81">
        <v>0</v>
      </c>
      <c r="R11" s="81">
        <v>0</v>
      </c>
      <c r="S11" s="81">
        <v>0</v>
      </c>
      <c r="T11" s="81">
        <f t="shared" si="7"/>
        <v>0</v>
      </c>
      <c r="U11" s="80">
        <v>0</v>
      </c>
      <c r="V11" s="80">
        <v>0</v>
      </c>
      <c r="W11" s="80">
        <v>0</v>
      </c>
      <c r="X11" s="80">
        <v>0</v>
      </c>
      <c r="Y11" s="81">
        <f t="shared" si="8"/>
        <v>0</v>
      </c>
      <c r="Z11" s="124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</row>
    <row r="12" spans="1:49" ht="24.6" customHeight="1">
      <c r="A12" s="111" t="s">
        <v>68</v>
      </c>
      <c r="B12" s="112" t="s">
        <v>93</v>
      </c>
      <c r="C12" s="113">
        <f>H9+M9+T9+Y9</f>
        <v>0</v>
      </c>
      <c r="D12" s="114">
        <f>D13+D14+D15</f>
        <v>0</v>
      </c>
      <c r="E12" s="114">
        <f>E13+E14+E15</f>
        <v>0</v>
      </c>
      <c r="F12" s="114">
        <f>F13+F14+F15</f>
        <v>0</v>
      </c>
      <c r="G12" s="114">
        <f>G13+G14+G15</f>
        <v>0</v>
      </c>
      <c r="H12" s="82">
        <f t="shared" si="5"/>
        <v>0</v>
      </c>
      <c r="I12" s="81">
        <f>I13+I14+I15</f>
        <v>0</v>
      </c>
      <c r="J12" s="81">
        <f>J13+J14+J15</f>
        <v>0</v>
      </c>
      <c r="K12" s="81">
        <f>K13+K14+K15</f>
        <v>0</v>
      </c>
      <c r="L12" s="81">
        <f>L13+L14+L15</f>
        <v>0</v>
      </c>
      <c r="M12" s="115">
        <f t="shared" si="6"/>
        <v>0</v>
      </c>
      <c r="N12" s="111" t="s">
        <v>68</v>
      </c>
      <c r="O12" s="112" t="str">
        <f t="shared" si="3"/>
        <v>Привлеченные средства, в т.ч.:</v>
      </c>
      <c r="P12" s="81">
        <f>P13+P14+P15</f>
        <v>0</v>
      </c>
      <c r="Q12" s="81">
        <f>Q13+Q14+Q15</f>
        <v>0</v>
      </c>
      <c r="R12" s="81">
        <f>R13+R14+R15</f>
        <v>0</v>
      </c>
      <c r="S12" s="81">
        <f>S13+S14+S15</f>
        <v>0</v>
      </c>
      <c r="T12" s="115">
        <f t="shared" si="7"/>
        <v>0</v>
      </c>
      <c r="U12" s="80">
        <f>U13+U14+U15</f>
        <v>0</v>
      </c>
      <c r="V12" s="80">
        <f>V13+V14+V15</f>
        <v>0</v>
      </c>
      <c r="W12" s="80">
        <f>W13+W14+W15</f>
        <v>0</v>
      </c>
      <c r="X12" s="80">
        <f>X13+X14+X15</f>
        <v>0</v>
      </c>
      <c r="Y12" s="115">
        <f t="shared" si="8"/>
        <v>0</v>
      </c>
      <c r="Z12" s="109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</row>
    <row r="13" spans="1:49" ht="15" customHeight="1">
      <c r="A13" s="85" t="s">
        <v>94</v>
      </c>
      <c r="B13" s="116" t="s">
        <v>95</v>
      </c>
      <c r="C13" s="114">
        <f>H9+M9+T9+Y9</f>
        <v>0</v>
      </c>
      <c r="D13" s="114">
        <v>0</v>
      </c>
      <c r="E13" s="114">
        <v>0</v>
      </c>
      <c r="F13" s="114">
        <v>0</v>
      </c>
      <c r="G13" s="114">
        <v>0</v>
      </c>
      <c r="H13" s="80">
        <f t="shared" si="5"/>
        <v>0</v>
      </c>
      <c r="I13" s="81">
        <v>0</v>
      </c>
      <c r="J13" s="81">
        <v>0</v>
      </c>
      <c r="K13" s="81">
        <v>0</v>
      </c>
      <c r="L13" s="81">
        <v>0</v>
      </c>
      <c r="M13" s="81">
        <f t="shared" si="6"/>
        <v>0</v>
      </c>
      <c r="N13" s="85" t="s">
        <v>94</v>
      </c>
      <c r="O13" s="116" t="str">
        <f t="shared" si="3"/>
        <v>кредитные средства</v>
      </c>
      <c r="P13" s="81">
        <v>0</v>
      </c>
      <c r="Q13" s="81">
        <v>0</v>
      </c>
      <c r="R13" s="81">
        <v>0</v>
      </c>
      <c r="S13" s="81">
        <v>0</v>
      </c>
      <c r="T13" s="81">
        <f t="shared" si="7"/>
        <v>0</v>
      </c>
      <c r="U13" s="80">
        <v>0</v>
      </c>
      <c r="V13" s="80">
        <v>0</v>
      </c>
      <c r="W13" s="80">
        <v>0</v>
      </c>
      <c r="X13" s="80">
        <v>0</v>
      </c>
      <c r="Y13" s="81">
        <f t="shared" si="8"/>
        <v>0</v>
      </c>
      <c r="Z13" s="109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</row>
    <row r="14" spans="1:49" ht="15" customHeight="1">
      <c r="A14" s="85" t="s">
        <v>96</v>
      </c>
      <c r="B14" s="116" t="s">
        <v>97</v>
      </c>
      <c r="C14" s="114">
        <f>H9+M9+T9+Y9</f>
        <v>0</v>
      </c>
      <c r="D14" s="114">
        <v>0</v>
      </c>
      <c r="E14" s="114">
        <v>0</v>
      </c>
      <c r="F14" s="114">
        <v>0</v>
      </c>
      <c r="G14" s="114">
        <v>0</v>
      </c>
      <c r="H14" s="80">
        <f t="shared" si="5"/>
        <v>0</v>
      </c>
      <c r="I14" s="81">
        <v>0</v>
      </c>
      <c r="J14" s="81">
        <v>0</v>
      </c>
      <c r="K14" s="81">
        <v>0</v>
      </c>
      <c r="L14" s="81">
        <v>0</v>
      </c>
      <c r="M14" s="81">
        <f t="shared" si="6"/>
        <v>0</v>
      </c>
      <c r="N14" s="85" t="s">
        <v>96</v>
      </c>
      <c r="O14" s="116" t="str">
        <f t="shared" si="3"/>
        <v>заемные средства</v>
      </c>
      <c r="P14" s="81">
        <v>0</v>
      </c>
      <c r="Q14" s="81">
        <v>0</v>
      </c>
      <c r="R14" s="81">
        <v>0</v>
      </c>
      <c r="S14" s="81">
        <v>0</v>
      </c>
      <c r="T14" s="81">
        <f t="shared" si="7"/>
        <v>0</v>
      </c>
      <c r="U14" s="80">
        <v>0</v>
      </c>
      <c r="V14" s="80">
        <v>0</v>
      </c>
      <c r="W14" s="80">
        <v>0</v>
      </c>
      <c r="X14" s="80">
        <v>0</v>
      </c>
      <c r="Y14" s="81">
        <f t="shared" si="8"/>
        <v>0</v>
      </c>
      <c r="Z14" s="109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</row>
    <row r="15" spans="1:49" ht="15" customHeight="1">
      <c r="A15" s="85" t="s">
        <v>98</v>
      </c>
      <c r="B15" s="116" t="s">
        <v>67</v>
      </c>
      <c r="C15" s="114">
        <f>H9+M9+T9+Y9</f>
        <v>0</v>
      </c>
      <c r="D15" s="114">
        <v>0</v>
      </c>
      <c r="E15" s="114">
        <v>0</v>
      </c>
      <c r="F15" s="114">
        <v>0</v>
      </c>
      <c r="G15" s="114">
        <v>0</v>
      </c>
      <c r="H15" s="80">
        <f t="shared" si="5"/>
        <v>0</v>
      </c>
      <c r="I15" s="81">
        <v>0</v>
      </c>
      <c r="J15" s="81">
        <v>0</v>
      </c>
      <c r="K15" s="81">
        <v>0</v>
      </c>
      <c r="L15" s="81">
        <v>0</v>
      </c>
      <c r="M15" s="81">
        <f t="shared" si="6"/>
        <v>0</v>
      </c>
      <c r="N15" s="85" t="s">
        <v>98</v>
      </c>
      <c r="O15" s="116" t="str">
        <f t="shared" si="3"/>
        <v>прочее</v>
      </c>
      <c r="P15" s="81">
        <v>0</v>
      </c>
      <c r="Q15" s="81">
        <v>0</v>
      </c>
      <c r="R15" s="81">
        <v>0</v>
      </c>
      <c r="S15" s="81">
        <v>0</v>
      </c>
      <c r="T15" s="81">
        <f t="shared" si="7"/>
        <v>0</v>
      </c>
      <c r="U15" s="80">
        <v>0</v>
      </c>
      <c r="V15" s="80">
        <v>0</v>
      </c>
      <c r="W15" s="80">
        <v>0</v>
      </c>
      <c r="X15" s="80">
        <v>0</v>
      </c>
      <c r="Y15" s="81">
        <f t="shared" si="8"/>
        <v>0</v>
      </c>
      <c r="Z15" s="109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</row>
    <row r="16" spans="1:49" ht="15" customHeight="1">
      <c r="A16" s="111" t="s">
        <v>70</v>
      </c>
      <c r="B16" s="112" t="s">
        <v>99</v>
      </c>
      <c r="C16" s="113">
        <f>H16+M16+T16+Y16</f>
        <v>329000</v>
      </c>
      <c r="D16" s="114">
        <f t="shared" ref="D16:M16" si="9">D7+D12</f>
        <v>53250</v>
      </c>
      <c r="E16" s="114">
        <f t="shared" si="9"/>
        <v>53250</v>
      </c>
      <c r="F16" s="114">
        <f t="shared" si="9"/>
        <v>111250</v>
      </c>
      <c r="G16" s="114">
        <f t="shared" si="9"/>
        <v>111250</v>
      </c>
      <c r="H16" s="82">
        <f t="shared" si="9"/>
        <v>329000</v>
      </c>
      <c r="I16" s="81">
        <f t="shared" si="9"/>
        <v>0</v>
      </c>
      <c r="J16" s="81">
        <f t="shared" si="9"/>
        <v>0</v>
      </c>
      <c r="K16" s="81">
        <f t="shared" si="9"/>
        <v>0</v>
      </c>
      <c r="L16" s="81">
        <f t="shared" si="9"/>
        <v>0</v>
      </c>
      <c r="M16" s="115">
        <f t="shared" si="9"/>
        <v>0</v>
      </c>
      <c r="N16" s="111" t="s">
        <v>70</v>
      </c>
      <c r="O16" s="112" t="str">
        <f t="shared" si="3"/>
        <v>Итого</v>
      </c>
      <c r="P16" s="81">
        <f t="shared" ref="P16:Y16" si="10">P7+P12</f>
        <v>0</v>
      </c>
      <c r="Q16" s="81">
        <f t="shared" si="10"/>
        <v>0</v>
      </c>
      <c r="R16" s="81">
        <f t="shared" si="10"/>
        <v>0</v>
      </c>
      <c r="S16" s="81">
        <f t="shared" si="10"/>
        <v>0</v>
      </c>
      <c r="T16" s="115">
        <f t="shared" si="10"/>
        <v>0</v>
      </c>
      <c r="U16" s="80">
        <f t="shared" si="10"/>
        <v>0</v>
      </c>
      <c r="V16" s="80">
        <f t="shared" si="10"/>
        <v>0</v>
      </c>
      <c r="W16" s="80">
        <f t="shared" si="10"/>
        <v>0</v>
      </c>
      <c r="X16" s="80">
        <f t="shared" si="10"/>
        <v>0</v>
      </c>
      <c r="Y16" s="115">
        <f t="shared" si="10"/>
        <v>0</v>
      </c>
      <c r="Z16" s="109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</row>
  </sheetData>
  <mergeCells count="15">
    <mergeCell ref="N1:Y1"/>
    <mergeCell ref="N2:Y2"/>
    <mergeCell ref="N3:N5"/>
    <mergeCell ref="O3:O5"/>
    <mergeCell ref="P3:Y3"/>
    <mergeCell ref="P4:T4"/>
    <mergeCell ref="U4:Y4"/>
    <mergeCell ref="A1:M1"/>
    <mergeCell ref="A2:M2"/>
    <mergeCell ref="A3:A5"/>
    <mergeCell ref="B3:B5"/>
    <mergeCell ref="C3:C5"/>
    <mergeCell ref="D3:M3"/>
    <mergeCell ref="D4:H4"/>
    <mergeCell ref="I4:M4"/>
  </mergeCells>
  <pageMargins left="0.78740200000000005" right="0.78740200000000005" top="1.1811" bottom="0.59055100000000005" header="0.51181100000000002" footer="0.51181100000000002"/>
  <pageSetup scale="57"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63"/>
  <sheetViews>
    <sheetView showGridLines="0" topLeftCell="AF1" zoomScale="90" zoomScaleNormal="90" workbookViewId="0">
      <selection activeCell="AN2" sqref="AN2:AZ35"/>
    </sheetView>
  </sheetViews>
  <sheetFormatPr defaultColWidth="9.109375" defaultRowHeight="11.4" customHeight="1"/>
  <cols>
    <col min="1" max="1" width="5" style="126" customWidth="1"/>
    <col min="2" max="2" width="27.5546875" style="126" customWidth="1"/>
    <col min="3" max="3" width="9.5546875" style="126" customWidth="1"/>
    <col min="4" max="8" width="9.44140625" style="126" customWidth="1"/>
    <col min="9" max="12" width="10" style="126" customWidth="1"/>
    <col min="13" max="13" width="10.88671875" style="126" customWidth="1"/>
    <col min="14" max="14" width="4.5546875" style="126" customWidth="1"/>
    <col min="15" max="15" width="27.5546875" style="126" customWidth="1"/>
    <col min="16" max="16" width="9.44140625" style="126" customWidth="1"/>
    <col min="17" max="17" width="9" style="126" customWidth="1"/>
    <col min="18" max="20" width="10" style="126" customWidth="1"/>
    <col min="21" max="21" width="10.88671875" style="126" customWidth="1"/>
    <col min="22" max="25" width="9.88671875" style="126" customWidth="1"/>
    <col min="26" max="26" width="10.88671875" style="126" customWidth="1"/>
    <col min="27" max="27" width="4.5546875" style="126" customWidth="1"/>
    <col min="28" max="28" width="27.5546875" style="126" customWidth="1"/>
    <col min="29" max="29" width="9.109375" style="126" customWidth="1"/>
    <col min="30" max="30" width="9" style="126" customWidth="1"/>
    <col min="31" max="33" width="9.88671875" style="126" customWidth="1"/>
    <col min="34" max="34" width="10.88671875" style="126" customWidth="1"/>
    <col min="35" max="38" width="9.88671875" style="126" customWidth="1"/>
    <col min="39" max="39" width="10.88671875" style="126" customWidth="1"/>
    <col min="40" max="40" width="4.5546875" style="126" customWidth="1"/>
    <col min="41" max="41" width="26.5546875" style="126" customWidth="1"/>
    <col min="42" max="42" width="9.109375" style="126" customWidth="1"/>
    <col min="43" max="43" width="9" style="126" customWidth="1"/>
    <col min="44" max="46" width="9.88671875" style="126" customWidth="1"/>
    <col min="47" max="47" width="10.88671875" style="126" customWidth="1"/>
    <col min="48" max="51" width="9.88671875" style="126" customWidth="1"/>
    <col min="52" max="52" width="10.88671875" style="126" customWidth="1"/>
    <col min="53" max="256" width="9.109375" style="126" customWidth="1"/>
  </cols>
  <sheetData>
    <row r="1" spans="1:52" ht="12.6" customHeight="1">
      <c r="A1" s="324" t="s">
        <v>100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24" t="s">
        <v>101</v>
      </c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</row>
    <row r="2" spans="1:52" ht="12.6" customHeight="1">
      <c r="A2" s="326" t="s">
        <v>102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5" t="s">
        <v>103</v>
      </c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</row>
    <row r="3" spans="1:52" ht="12.75" customHeight="1">
      <c r="A3" s="316" t="s">
        <v>53</v>
      </c>
      <c r="B3" s="316" t="s">
        <v>104</v>
      </c>
      <c r="C3" s="316" t="s">
        <v>105</v>
      </c>
      <c r="D3" s="318" t="str">
        <f>'Исходные данные'!$B$26&amp;" год"</f>
        <v>2021 год</v>
      </c>
      <c r="E3" s="319"/>
      <c r="F3" s="319"/>
      <c r="G3" s="319"/>
      <c r="H3" s="320"/>
      <c r="I3" s="318" t="str">
        <f>'Исходные данные'!$B$26+M60&amp;" год"</f>
        <v>2022 год</v>
      </c>
      <c r="J3" s="319"/>
      <c r="K3" s="319"/>
      <c r="L3" s="319"/>
      <c r="M3" s="320"/>
      <c r="N3" s="316" t="s">
        <v>53</v>
      </c>
      <c r="O3" s="316" t="s">
        <v>104</v>
      </c>
      <c r="P3" s="316" t="s">
        <v>105</v>
      </c>
      <c r="Q3" s="318" t="str">
        <f>'Исходные данные'!$B$26+U60&amp;" год"</f>
        <v>2023 год</v>
      </c>
      <c r="R3" s="319"/>
      <c r="S3" s="319"/>
      <c r="T3" s="319"/>
      <c r="U3" s="320"/>
      <c r="V3" s="318" t="str">
        <f>'Исходные данные'!$B$26+Z60&amp;" год"</f>
        <v>2024 год</v>
      </c>
      <c r="W3" s="319"/>
      <c r="X3" s="319"/>
      <c r="Y3" s="319"/>
      <c r="Z3" s="320"/>
      <c r="AA3" s="316" t="s">
        <v>53</v>
      </c>
      <c r="AB3" s="316" t="s">
        <v>104</v>
      </c>
      <c r="AC3" s="316" t="s">
        <v>105</v>
      </c>
      <c r="AD3" s="318" t="str">
        <f>'Исходные данные'!$B$26+AH60&amp;" год"</f>
        <v>2025 год</v>
      </c>
      <c r="AE3" s="319"/>
      <c r="AF3" s="319"/>
      <c r="AG3" s="319"/>
      <c r="AH3" s="320"/>
      <c r="AI3" s="318" t="str">
        <f>'Исходные данные'!$B$26+AM60&amp;" год"</f>
        <v>2026 год</v>
      </c>
      <c r="AJ3" s="319"/>
      <c r="AK3" s="319"/>
      <c r="AL3" s="319"/>
      <c r="AM3" s="320"/>
      <c r="AN3" s="316" t="s">
        <v>53</v>
      </c>
      <c r="AO3" s="316" t="s">
        <v>104</v>
      </c>
      <c r="AP3" s="316" t="s">
        <v>105</v>
      </c>
      <c r="AQ3" s="318" t="str">
        <f>'Исходные данные'!$B$26+AU60&amp;" год"</f>
        <v>2027 год</v>
      </c>
      <c r="AR3" s="319"/>
      <c r="AS3" s="319"/>
      <c r="AT3" s="319"/>
      <c r="AU3" s="320"/>
      <c r="AV3" s="318" t="str">
        <f>'Исходные данные'!$B$26+AZ60&amp;" год"</f>
        <v>2028 год</v>
      </c>
      <c r="AW3" s="319"/>
      <c r="AX3" s="319"/>
      <c r="AY3" s="319"/>
      <c r="AZ3" s="320"/>
    </row>
    <row r="4" spans="1:52" ht="19.95" customHeight="1">
      <c r="A4" s="317"/>
      <c r="B4" s="317"/>
      <c r="C4" s="317"/>
      <c r="D4" s="127" t="s">
        <v>58</v>
      </c>
      <c r="E4" s="127" t="s">
        <v>59</v>
      </c>
      <c r="F4" s="127" t="s">
        <v>60</v>
      </c>
      <c r="G4" s="127" t="s">
        <v>61</v>
      </c>
      <c r="H4" s="127" t="s">
        <v>62</v>
      </c>
      <c r="I4" s="127" t="s">
        <v>58</v>
      </c>
      <c r="J4" s="127" t="s">
        <v>59</v>
      </c>
      <c r="K4" s="127" t="s">
        <v>60</v>
      </c>
      <c r="L4" s="127" t="s">
        <v>61</v>
      </c>
      <c r="M4" s="127" t="s">
        <v>62</v>
      </c>
      <c r="N4" s="317"/>
      <c r="O4" s="317"/>
      <c r="P4" s="317"/>
      <c r="Q4" s="127" t="s">
        <v>58</v>
      </c>
      <c r="R4" s="127" t="s">
        <v>59</v>
      </c>
      <c r="S4" s="127" t="s">
        <v>60</v>
      </c>
      <c r="T4" s="127" t="s">
        <v>61</v>
      </c>
      <c r="U4" s="127" t="s">
        <v>62</v>
      </c>
      <c r="V4" s="127" t="s">
        <v>58</v>
      </c>
      <c r="W4" s="127" t="s">
        <v>59</v>
      </c>
      <c r="X4" s="127" t="s">
        <v>60</v>
      </c>
      <c r="Y4" s="127" t="s">
        <v>61</v>
      </c>
      <c r="Z4" s="127" t="s">
        <v>62</v>
      </c>
      <c r="AA4" s="317"/>
      <c r="AB4" s="317"/>
      <c r="AC4" s="317"/>
      <c r="AD4" s="127" t="s">
        <v>58</v>
      </c>
      <c r="AE4" s="127" t="s">
        <v>59</v>
      </c>
      <c r="AF4" s="127" t="s">
        <v>60</v>
      </c>
      <c r="AG4" s="127" t="s">
        <v>61</v>
      </c>
      <c r="AH4" s="127" t="s">
        <v>62</v>
      </c>
      <c r="AI4" s="127" t="s">
        <v>58</v>
      </c>
      <c r="AJ4" s="127" t="s">
        <v>59</v>
      </c>
      <c r="AK4" s="127" t="s">
        <v>60</v>
      </c>
      <c r="AL4" s="127" t="s">
        <v>61</v>
      </c>
      <c r="AM4" s="127" t="s">
        <v>62</v>
      </c>
      <c r="AN4" s="317"/>
      <c r="AO4" s="317"/>
      <c r="AP4" s="317"/>
      <c r="AQ4" s="127" t="s">
        <v>58</v>
      </c>
      <c r="AR4" s="127" t="s">
        <v>59</v>
      </c>
      <c r="AS4" s="127" t="s">
        <v>60</v>
      </c>
      <c r="AT4" s="127" t="s">
        <v>61</v>
      </c>
      <c r="AU4" s="127" t="s">
        <v>62</v>
      </c>
      <c r="AV4" s="127" t="s">
        <v>58</v>
      </c>
      <c r="AW4" s="127" t="s">
        <v>59</v>
      </c>
      <c r="AX4" s="127" t="s">
        <v>60</v>
      </c>
      <c r="AY4" s="127" t="s">
        <v>61</v>
      </c>
      <c r="AZ4" s="127" t="s">
        <v>62</v>
      </c>
    </row>
    <row r="5" spans="1:52" ht="12.6" customHeight="1">
      <c r="A5" s="128">
        <v>1</v>
      </c>
      <c r="B5" s="128">
        <v>2</v>
      </c>
      <c r="C5" s="128">
        <v>3</v>
      </c>
      <c r="D5" s="128">
        <f t="shared" ref="D5:M5" si="0">C5+1</f>
        <v>4</v>
      </c>
      <c r="E5" s="128">
        <f t="shared" si="0"/>
        <v>5</v>
      </c>
      <c r="F5" s="128">
        <f t="shared" si="0"/>
        <v>6</v>
      </c>
      <c r="G5" s="128">
        <f t="shared" si="0"/>
        <v>7</v>
      </c>
      <c r="H5" s="128">
        <f t="shared" si="0"/>
        <v>8</v>
      </c>
      <c r="I5" s="128">
        <f t="shared" si="0"/>
        <v>9</v>
      </c>
      <c r="J5" s="128">
        <f t="shared" si="0"/>
        <v>10</v>
      </c>
      <c r="K5" s="128">
        <f t="shared" si="0"/>
        <v>11</v>
      </c>
      <c r="L5" s="128">
        <f t="shared" si="0"/>
        <v>12</v>
      </c>
      <c r="M5" s="128">
        <f t="shared" si="0"/>
        <v>13</v>
      </c>
      <c r="N5" s="128">
        <v>1</v>
      </c>
      <c r="O5" s="128">
        <v>2</v>
      </c>
      <c r="P5" s="128">
        <v>3</v>
      </c>
      <c r="Q5" s="128">
        <f>M5+1</f>
        <v>14</v>
      </c>
      <c r="R5" s="128">
        <f t="shared" ref="R5:Z5" si="1">Q5+1</f>
        <v>15</v>
      </c>
      <c r="S5" s="128">
        <f t="shared" si="1"/>
        <v>16</v>
      </c>
      <c r="T5" s="128">
        <f t="shared" si="1"/>
        <v>17</v>
      </c>
      <c r="U5" s="128">
        <f t="shared" si="1"/>
        <v>18</v>
      </c>
      <c r="V5" s="128">
        <f t="shared" si="1"/>
        <v>19</v>
      </c>
      <c r="W5" s="128">
        <f t="shared" si="1"/>
        <v>20</v>
      </c>
      <c r="X5" s="128">
        <f t="shared" si="1"/>
        <v>21</v>
      </c>
      <c r="Y5" s="128">
        <f t="shared" si="1"/>
        <v>22</v>
      </c>
      <c r="Z5" s="128">
        <f t="shared" si="1"/>
        <v>23</v>
      </c>
      <c r="AA5" s="128">
        <v>1</v>
      </c>
      <c r="AB5" s="128">
        <v>2</v>
      </c>
      <c r="AC5" s="128">
        <v>3</v>
      </c>
      <c r="AD5" s="128">
        <f>Z5+1</f>
        <v>24</v>
      </c>
      <c r="AE5" s="128">
        <f t="shared" ref="AE5:AM5" si="2">AD5+1</f>
        <v>25</v>
      </c>
      <c r="AF5" s="128">
        <f t="shared" si="2"/>
        <v>26</v>
      </c>
      <c r="AG5" s="128">
        <f t="shared" si="2"/>
        <v>27</v>
      </c>
      <c r="AH5" s="128">
        <f t="shared" si="2"/>
        <v>28</v>
      </c>
      <c r="AI5" s="128">
        <f t="shared" si="2"/>
        <v>29</v>
      </c>
      <c r="AJ5" s="128">
        <f t="shared" si="2"/>
        <v>30</v>
      </c>
      <c r="AK5" s="128">
        <f t="shared" si="2"/>
        <v>31</v>
      </c>
      <c r="AL5" s="128">
        <f t="shared" si="2"/>
        <v>32</v>
      </c>
      <c r="AM5" s="128">
        <f t="shared" si="2"/>
        <v>33</v>
      </c>
      <c r="AN5" s="128">
        <v>1</v>
      </c>
      <c r="AO5" s="128">
        <v>2</v>
      </c>
      <c r="AP5" s="128">
        <v>3</v>
      </c>
      <c r="AQ5" s="128">
        <f>AM5+1</f>
        <v>34</v>
      </c>
      <c r="AR5" s="128">
        <f t="shared" ref="AR5:AZ5" si="3">AQ5+1</f>
        <v>35</v>
      </c>
      <c r="AS5" s="128">
        <f t="shared" si="3"/>
        <v>36</v>
      </c>
      <c r="AT5" s="128">
        <f t="shared" si="3"/>
        <v>37</v>
      </c>
      <c r="AU5" s="128">
        <f t="shared" si="3"/>
        <v>38</v>
      </c>
      <c r="AV5" s="128">
        <f t="shared" si="3"/>
        <v>39</v>
      </c>
      <c r="AW5" s="128">
        <f t="shared" si="3"/>
        <v>40</v>
      </c>
      <c r="AX5" s="128">
        <f t="shared" si="3"/>
        <v>41</v>
      </c>
      <c r="AY5" s="128">
        <f t="shared" si="3"/>
        <v>42</v>
      </c>
      <c r="AZ5" s="128">
        <f t="shared" si="3"/>
        <v>43</v>
      </c>
    </row>
    <row r="6" spans="1:52" ht="12.6" customHeight="1">
      <c r="A6" s="129">
        <v>1</v>
      </c>
      <c r="B6" s="238" t="str">
        <f>'Исходные данные'!F81</f>
        <v>продажа 1м3 ПСБ-С-15 Л</v>
      </c>
      <c r="C6" s="239"/>
      <c r="D6" s="240"/>
      <c r="E6" s="240"/>
      <c r="F6" s="240"/>
      <c r="G6" s="240"/>
      <c r="H6" s="240"/>
      <c r="I6" s="240"/>
      <c r="J6" s="240"/>
      <c r="K6" s="240"/>
      <c r="L6" s="240"/>
      <c r="M6" s="132"/>
      <c r="N6" s="133">
        <f t="shared" ref="N6:O9" si="4">A6</f>
        <v>1</v>
      </c>
      <c r="O6" s="130" t="str">
        <f t="shared" si="4"/>
        <v>продажа 1м3 ПСБ-С-15 Л</v>
      </c>
      <c r="P6" s="131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4">
        <f t="shared" ref="AA6:AB9" si="5">N6</f>
        <v>1</v>
      </c>
      <c r="AB6" s="130" t="str">
        <f t="shared" si="5"/>
        <v>продажа 1м3 ПСБ-С-15 Л</v>
      </c>
      <c r="AC6" s="131"/>
      <c r="AD6" s="132"/>
      <c r="AE6" s="132"/>
      <c r="AF6" s="132"/>
      <c r="AG6" s="132"/>
      <c r="AH6" s="132"/>
      <c r="AI6" s="132"/>
      <c r="AJ6" s="132"/>
      <c r="AK6" s="132"/>
      <c r="AL6" s="132"/>
      <c r="AM6" s="135"/>
      <c r="AN6" s="134">
        <f t="shared" ref="AN6:AO9" si="6">AA6</f>
        <v>1</v>
      </c>
      <c r="AO6" s="130" t="str">
        <f t="shared" si="6"/>
        <v>продажа 1м3 ПСБ-С-15 Л</v>
      </c>
      <c r="AP6" s="131"/>
      <c r="AQ6" s="132"/>
      <c r="AR6" s="132"/>
      <c r="AS6" s="132"/>
      <c r="AT6" s="132"/>
      <c r="AU6" s="132"/>
      <c r="AV6" s="132"/>
      <c r="AW6" s="132"/>
      <c r="AX6" s="132"/>
      <c r="AY6" s="132"/>
      <c r="AZ6" s="135"/>
    </row>
    <row r="7" spans="1:52" ht="12.6" customHeight="1">
      <c r="A7" s="136" t="s">
        <v>86</v>
      </c>
      <c r="B7" s="241" t="s">
        <v>106</v>
      </c>
      <c r="C7" s="242" t="s">
        <v>33</v>
      </c>
      <c r="D7" s="243">
        <v>0</v>
      </c>
      <c r="E7" s="243">
        <f t="shared" ref="E7:G8" si="7">D7</f>
        <v>0</v>
      </c>
      <c r="F7" s="243">
        <f t="shared" si="7"/>
        <v>0</v>
      </c>
      <c r="G7" s="243">
        <f t="shared" si="7"/>
        <v>0</v>
      </c>
      <c r="H7" s="240">
        <f>D7+E7+F7+G7</f>
        <v>0</v>
      </c>
      <c r="I7" s="243">
        <v>9600</v>
      </c>
      <c r="J7" s="243">
        <v>9600</v>
      </c>
      <c r="K7" s="243">
        <v>9600</v>
      </c>
      <c r="L7" s="243">
        <v>9600</v>
      </c>
      <c r="M7" s="132">
        <f>I7+J7+K7+L7</f>
        <v>38400</v>
      </c>
      <c r="N7" s="136" t="str">
        <f t="shared" si="4"/>
        <v>1.1.</v>
      </c>
      <c r="O7" s="137" t="str">
        <f t="shared" si="4"/>
        <v>Объем производства</v>
      </c>
      <c r="P7" s="138" t="str">
        <f>C7</f>
        <v>ед.</v>
      </c>
      <c r="Q7" s="139">
        <f>I7</f>
        <v>9600</v>
      </c>
      <c r="R7" s="139">
        <f t="shared" ref="R7:T7" si="8">J7</f>
        <v>9600</v>
      </c>
      <c r="S7" s="139">
        <f t="shared" si="8"/>
        <v>9600</v>
      </c>
      <c r="T7" s="139">
        <f t="shared" si="8"/>
        <v>9600</v>
      </c>
      <c r="U7" s="132">
        <f>Q7+R7+S7+T7</f>
        <v>38400</v>
      </c>
      <c r="V7" s="139">
        <f>Q7</f>
        <v>9600</v>
      </c>
      <c r="W7" s="139">
        <f t="shared" ref="W7:Y7" si="9">R7</f>
        <v>9600</v>
      </c>
      <c r="X7" s="139">
        <f t="shared" si="9"/>
        <v>9600</v>
      </c>
      <c r="Y7" s="139">
        <f t="shared" si="9"/>
        <v>9600</v>
      </c>
      <c r="Z7" s="132">
        <f>V7+W7+X7+Y7</f>
        <v>38400</v>
      </c>
      <c r="AA7" s="136" t="str">
        <f t="shared" si="5"/>
        <v>1.1.</v>
      </c>
      <c r="AB7" s="137" t="str">
        <f t="shared" si="5"/>
        <v>Объем производства</v>
      </c>
      <c r="AC7" s="138" t="str">
        <f>P7</f>
        <v>ед.</v>
      </c>
      <c r="AD7" s="139">
        <f>9600</f>
        <v>9600</v>
      </c>
      <c r="AE7" s="139">
        <f>9600</f>
        <v>9600</v>
      </c>
      <c r="AF7" s="139">
        <f>9600</f>
        <v>9600</v>
      </c>
      <c r="AG7" s="139">
        <f>9600</f>
        <v>9600</v>
      </c>
      <c r="AH7" s="132">
        <f>AD7+AE7+AF7+AG7</f>
        <v>38400</v>
      </c>
      <c r="AI7" s="139">
        <f>AD7</f>
        <v>9600</v>
      </c>
      <c r="AJ7" s="139">
        <f t="shared" ref="AJ7:AL7" si="10">AE7</f>
        <v>9600</v>
      </c>
      <c r="AK7" s="139">
        <f t="shared" si="10"/>
        <v>9600</v>
      </c>
      <c r="AL7" s="139">
        <f t="shared" si="10"/>
        <v>9600</v>
      </c>
      <c r="AM7" s="135">
        <f>AI7+AJ7+AK7+AL7</f>
        <v>38400</v>
      </c>
      <c r="AN7" s="136" t="str">
        <f t="shared" si="6"/>
        <v>1.1.</v>
      </c>
      <c r="AO7" s="137" t="str">
        <f t="shared" si="6"/>
        <v>Объем производства</v>
      </c>
      <c r="AP7" s="138" t="str">
        <f>AC7</f>
        <v>ед.</v>
      </c>
      <c r="AQ7" s="139">
        <f>AI7</f>
        <v>9600</v>
      </c>
      <c r="AR7" s="139">
        <f t="shared" ref="AR7:AT7" si="11">AJ7</f>
        <v>9600</v>
      </c>
      <c r="AS7" s="139">
        <f t="shared" si="11"/>
        <v>9600</v>
      </c>
      <c r="AT7" s="139">
        <f t="shared" si="11"/>
        <v>9600</v>
      </c>
      <c r="AU7" s="132">
        <f>AQ7+AR7+AS7+AT7</f>
        <v>38400</v>
      </c>
      <c r="AV7" s="139">
        <f>AQ7</f>
        <v>9600</v>
      </c>
      <c r="AW7" s="139">
        <f t="shared" ref="AW7:AY7" si="12">AR7</f>
        <v>9600</v>
      </c>
      <c r="AX7" s="139">
        <f t="shared" si="12"/>
        <v>9600</v>
      </c>
      <c r="AY7" s="139">
        <f t="shared" si="12"/>
        <v>9600</v>
      </c>
      <c r="AZ7" s="135">
        <f>AV7+AW7+AX7+AY7</f>
        <v>38400</v>
      </c>
    </row>
    <row r="8" spans="1:52" ht="12.6" customHeight="1">
      <c r="A8" s="140" t="s">
        <v>88</v>
      </c>
      <c r="B8" s="241" t="s">
        <v>107</v>
      </c>
      <c r="C8" s="242" t="s">
        <v>108</v>
      </c>
      <c r="D8" s="240">
        <v>0</v>
      </c>
      <c r="E8" s="240">
        <f t="shared" si="7"/>
        <v>0</v>
      </c>
      <c r="F8" s="240">
        <f t="shared" si="7"/>
        <v>0</v>
      </c>
      <c r="G8" s="240">
        <f t="shared" si="7"/>
        <v>0</v>
      </c>
      <c r="H8" s="240">
        <v>0</v>
      </c>
      <c r="I8" s="240">
        <v>1.35</v>
      </c>
      <c r="J8" s="240">
        <f>I8</f>
        <v>1.35</v>
      </c>
      <c r="K8" s="240">
        <f>J8</f>
        <v>1.35</v>
      </c>
      <c r="L8" s="240">
        <f>K8</f>
        <v>1.35</v>
      </c>
      <c r="M8" s="132">
        <f>L8</f>
        <v>1.35</v>
      </c>
      <c r="N8" s="140" t="str">
        <f t="shared" si="4"/>
        <v>1.2.</v>
      </c>
      <c r="O8" s="137" t="str">
        <f t="shared" si="4"/>
        <v>Цена реализации</v>
      </c>
      <c r="P8" s="138" t="str">
        <f>C8</f>
        <v>тыс. руб.</v>
      </c>
      <c r="Q8" s="132">
        <f>I8</f>
        <v>1.35</v>
      </c>
      <c r="R8" s="132">
        <f t="shared" ref="R8:U8" si="13">J8</f>
        <v>1.35</v>
      </c>
      <c r="S8" s="132">
        <f t="shared" si="13"/>
        <v>1.35</v>
      </c>
      <c r="T8" s="132">
        <f>L8</f>
        <v>1.35</v>
      </c>
      <c r="U8" s="132">
        <f t="shared" si="13"/>
        <v>1.35</v>
      </c>
      <c r="V8" s="132">
        <f>1.35</f>
        <v>1.35</v>
      </c>
      <c r="W8" s="132">
        <f t="shared" ref="W8:Y8" si="14">1.35</f>
        <v>1.35</v>
      </c>
      <c r="X8" s="132">
        <f t="shared" si="14"/>
        <v>1.35</v>
      </c>
      <c r="Y8" s="132">
        <f t="shared" si="14"/>
        <v>1.35</v>
      </c>
      <c r="Z8" s="132">
        <f>Y8</f>
        <v>1.35</v>
      </c>
      <c r="AA8" s="140" t="str">
        <f t="shared" si="5"/>
        <v>1.2.</v>
      </c>
      <c r="AB8" s="137" t="str">
        <f t="shared" si="5"/>
        <v>Цена реализации</v>
      </c>
      <c r="AC8" s="138" t="str">
        <f>P8</f>
        <v>тыс. руб.</v>
      </c>
      <c r="AD8" s="132">
        <f>V8</f>
        <v>1.35</v>
      </c>
      <c r="AE8" s="132">
        <f t="shared" ref="AE8:AG10" si="15">W8</f>
        <v>1.35</v>
      </c>
      <c r="AF8" s="132">
        <f t="shared" si="15"/>
        <v>1.35</v>
      </c>
      <c r="AG8" s="132">
        <f t="shared" si="15"/>
        <v>1.35</v>
      </c>
      <c r="AH8" s="132">
        <f>Z8</f>
        <v>1.35</v>
      </c>
      <c r="AI8" s="132">
        <f>AD8</f>
        <v>1.35</v>
      </c>
      <c r="AJ8" s="132">
        <f t="shared" ref="AJ8:AM10" si="16">AE8</f>
        <v>1.35</v>
      </c>
      <c r="AK8" s="132">
        <f t="shared" si="16"/>
        <v>1.35</v>
      </c>
      <c r="AL8" s="132">
        <f t="shared" si="16"/>
        <v>1.35</v>
      </c>
      <c r="AM8" s="236">
        <f t="shared" si="16"/>
        <v>1.35</v>
      </c>
      <c r="AN8" s="140" t="str">
        <f t="shared" si="6"/>
        <v>1.2.</v>
      </c>
      <c r="AO8" s="137" t="str">
        <f t="shared" si="6"/>
        <v>Цена реализации</v>
      </c>
      <c r="AP8" s="138" t="str">
        <f>AC8</f>
        <v>тыс. руб.</v>
      </c>
      <c r="AQ8" s="132">
        <f>1.35</f>
        <v>1.35</v>
      </c>
      <c r="AR8" s="132">
        <f t="shared" ref="AR8:AT8" si="17">1.35</f>
        <v>1.35</v>
      </c>
      <c r="AS8" s="132">
        <f t="shared" si="17"/>
        <v>1.35</v>
      </c>
      <c r="AT8" s="132">
        <f t="shared" si="17"/>
        <v>1.35</v>
      </c>
      <c r="AU8" s="132">
        <f>AT8</f>
        <v>1.35</v>
      </c>
      <c r="AV8" s="132">
        <f>AQ8</f>
        <v>1.35</v>
      </c>
      <c r="AW8" s="132">
        <f t="shared" ref="AW8:AY9" si="18">AR8</f>
        <v>1.35</v>
      </c>
      <c r="AX8" s="132">
        <f t="shared" si="18"/>
        <v>1.35</v>
      </c>
      <c r="AY8" s="132">
        <f t="shared" si="18"/>
        <v>1.35</v>
      </c>
      <c r="AZ8" s="135">
        <f>AY8</f>
        <v>1.35</v>
      </c>
    </row>
    <row r="9" spans="1:52" ht="12.6" customHeight="1">
      <c r="A9" s="140" t="s">
        <v>90</v>
      </c>
      <c r="B9" s="241" t="s">
        <v>109</v>
      </c>
      <c r="C9" s="242" t="s">
        <v>108</v>
      </c>
      <c r="D9" s="240">
        <f>D7*D8</f>
        <v>0</v>
      </c>
      <c r="E9" s="240">
        <f>E7*E8</f>
        <v>0</v>
      </c>
      <c r="F9" s="240">
        <f>F7*F8</f>
        <v>0</v>
      </c>
      <c r="G9" s="240">
        <f>G7*G8</f>
        <v>0</v>
      </c>
      <c r="H9" s="244">
        <f>D9+E9+F9+G9</f>
        <v>0</v>
      </c>
      <c r="I9" s="240">
        <f>I7*I8</f>
        <v>12960</v>
      </c>
      <c r="J9" s="240">
        <f>J7*J8</f>
        <v>12960</v>
      </c>
      <c r="K9" s="240">
        <f>K7*K8</f>
        <v>12960</v>
      </c>
      <c r="L9" s="240">
        <f>L7*L8</f>
        <v>12960</v>
      </c>
      <c r="M9" s="141">
        <f>I9+J9+K9+L9</f>
        <v>51840</v>
      </c>
      <c r="N9" s="140" t="str">
        <f t="shared" si="4"/>
        <v>1.3.</v>
      </c>
      <c r="O9" s="137" t="str">
        <f t="shared" si="4"/>
        <v>Выручка от реализации, в т.ч.:</v>
      </c>
      <c r="P9" s="138" t="str">
        <f>C9</f>
        <v>тыс. руб.</v>
      </c>
      <c r="Q9" s="132">
        <f>Q7*Q8</f>
        <v>12960</v>
      </c>
      <c r="R9" s="132">
        <f>R7*R8</f>
        <v>12960</v>
      </c>
      <c r="S9" s="132">
        <f>S7*S8</f>
        <v>12960</v>
      </c>
      <c r="T9" s="132">
        <f>T7*T8</f>
        <v>12960</v>
      </c>
      <c r="U9" s="141">
        <f>Q9+R9+S9+T9</f>
        <v>51840</v>
      </c>
      <c r="V9" s="132">
        <f>Q9</f>
        <v>12960</v>
      </c>
      <c r="W9" s="132">
        <f t="shared" ref="W9:Y10" si="19">R9</f>
        <v>12960</v>
      </c>
      <c r="X9" s="132">
        <f t="shared" si="19"/>
        <v>12960</v>
      </c>
      <c r="Y9" s="132">
        <f t="shared" si="19"/>
        <v>12960</v>
      </c>
      <c r="Z9" s="141">
        <f>V9+W9+X9+Y9</f>
        <v>51840</v>
      </c>
      <c r="AA9" s="140" t="str">
        <f t="shared" si="5"/>
        <v>1.3.</v>
      </c>
      <c r="AB9" s="137" t="str">
        <f t="shared" si="5"/>
        <v>Выручка от реализации, в т.ч.:</v>
      </c>
      <c r="AC9" s="138" t="str">
        <f>P9</f>
        <v>тыс. руб.</v>
      </c>
      <c r="AD9" s="132">
        <f>V9</f>
        <v>12960</v>
      </c>
      <c r="AE9" s="132">
        <f t="shared" si="15"/>
        <v>12960</v>
      </c>
      <c r="AF9" s="132">
        <f t="shared" si="15"/>
        <v>12960</v>
      </c>
      <c r="AG9" s="132">
        <f t="shared" si="15"/>
        <v>12960</v>
      </c>
      <c r="AH9" s="141">
        <f>AD9+AE9+AF9+AG9</f>
        <v>51840</v>
      </c>
      <c r="AI9" s="132">
        <f>AD9</f>
        <v>12960</v>
      </c>
      <c r="AJ9" s="132">
        <f t="shared" si="16"/>
        <v>12960</v>
      </c>
      <c r="AK9" s="132">
        <f t="shared" si="16"/>
        <v>12960</v>
      </c>
      <c r="AL9" s="132">
        <f t="shared" si="16"/>
        <v>12960</v>
      </c>
      <c r="AM9" s="142">
        <f>AI9+AJ9+AK9+AL9</f>
        <v>51840</v>
      </c>
      <c r="AN9" s="140" t="str">
        <f t="shared" si="6"/>
        <v>1.3.</v>
      </c>
      <c r="AO9" s="137" t="str">
        <f t="shared" si="6"/>
        <v>Выручка от реализации, в т.ч.:</v>
      </c>
      <c r="AP9" s="138" t="str">
        <f>AC9</f>
        <v>тыс. руб.</v>
      </c>
      <c r="AQ9" s="132">
        <f>AI9</f>
        <v>12960</v>
      </c>
      <c r="AR9" s="132">
        <f t="shared" ref="AR9:AT10" si="20">AJ9</f>
        <v>12960</v>
      </c>
      <c r="AS9" s="132">
        <f t="shared" si="20"/>
        <v>12960</v>
      </c>
      <c r="AT9" s="132">
        <f t="shared" si="20"/>
        <v>12960</v>
      </c>
      <c r="AU9" s="141">
        <f>AQ9+AR9+AS9+AT9</f>
        <v>51840</v>
      </c>
      <c r="AV9" s="132">
        <f>AQ9</f>
        <v>12960</v>
      </c>
      <c r="AW9" s="132">
        <f t="shared" si="18"/>
        <v>12960</v>
      </c>
      <c r="AX9" s="132">
        <f t="shared" si="18"/>
        <v>12960</v>
      </c>
      <c r="AY9" s="132">
        <f t="shared" si="18"/>
        <v>12960</v>
      </c>
      <c r="AZ9" s="142">
        <f>AV9+AW9+AX9+AY9</f>
        <v>51840</v>
      </c>
    </row>
    <row r="10" spans="1:52" ht="12.6" customHeight="1">
      <c r="A10" s="143"/>
      <c r="B10" s="241" t="s">
        <v>110</v>
      </c>
      <c r="C10" s="242" t="s">
        <v>108</v>
      </c>
      <c r="D10" s="240">
        <f>D9/118*18</f>
        <v>0</v>
      </c>
      <c r="E10" s="240">
        <f>E9/118*18</f>
        <v>0</v>
      </c>
      <c r="F10" s="240">
        <f>F9/118*18</f>
        <v>0</v>
      </c>
      <c r="G10" s="240">
        <f>G9/118*18</f>
        <v>0</v>
      </c>
      <c r="H10" s="244">
        <f>D10+E10+F10+G10</f>
        <v>0</v>
      </c>
      <c r="I10" s="240">
        <f>I9/120*20</f>
        <v>2160</v>
      </c>
      <c r="J10" s="240">
        <f>J9/120*20</f>
        <v>2160</v>
      </c>
      <c r="K10" s="240">
        <f>K9/120*20</f>
        <v>2160</v>
      </c>
      <c r="L10" s="240">
        <f>L9/120*20</f>
        <v>2160</v>
      </c>
      <c r="M10" s="141">
        <f>I10+J10+K10+L10</f>
        <v>8640</v>
      </c>
      <c r="N10" s="143"/>
      <c r="O10" s="137" t="str">
        <f t="shared" ref="O10:O41" si="21">B10</f>
        <v xml:space="preserve">   НДС</v>
      </c>
      <c r="P10" s="138" t="str">
        <f>C10</f>
        <v>тыс. руб.</v>
      </c>
      <c r="Q10" s="132">
        <f>Q9/120*20</f>
        <v>2160</v>
      </c>
      <c r="R10" s="132">
        <f>R9/120*20</f>
        <v>2160</v>
      </c>
      <c r="S10" s="132">
        <f>S9/120*20</f>
        <v>2160</v>
      </c>
      <c r="T10" s="132">
        <f>T9/120*20</f>
        <v>2160</v>
      </c>
      <c r="U10" s="141">
        <f>Q10+R10+S10+T10</f>
        <v>8640</v>
      </c>
      <c r="V10" s="132">
        <f>Q10</f>
        <v>2160</v>
      </c>
      <c r="W10" s="132">
        <f t="shared" si="19"/>
        <v>2160</v>
      </c>
      <c r="X10" s="132">
        <f t="shared" si="19"/>
        <v>2160</v>
      </c>
      <c r="Y10" s="132">
        <f t="shared" si="19"/>
        <v>2160</v>
      </c>
      <c r="Z10" s="141">
        <f>V10+W10+X10+Y10</f>
        <v>8640</v>
      </c>
      <c r="AA10" s="143"/>
      <c r="AB10" s="137" t="str">
        <f t="shared" ref="AB10:AB41" si="22">O10</f>
        <v xml:space="preserve">   НДС</v>
      </c>
      <c r="AC10" s="138" t="str">
        <f>P10</f>
        <v>тыс. руб.</v>
      </c>
      <c r="AD10" s="132">
        <f>V10</f>
        <v>2160</v>
      </c>
      <c r="AE10" s="132">
        <f t="shared" si="15"/>
        <v>2160</v>
      </c>
      <c r="AF10" s="132">
        <f t="shared" si="15"/>
        <v>2160</v>
      </c>
      <c r="AG10" s="132">
        <f t="shared" si="15"/>
        <v>2160</v>
      </c>
      <c r="AH10" s="141">
        <f>AD10+AE10+AF10+AG10</f>
        <v>8640</v>
      </c>
      <c r="AI10" s="132">
        <f>AD10</f>
        <v>2160</v>
      </c>
      <c r="AJ10" s="132">
        <f t="shared" si="16"/>
        <v>2160</v>
      </c>
      <c r="AK10" s="132">
        <f t="shared" si="16"/>
        <v>2160</v>
      </c>
      <c r="AL10" s="132">
        <f t="shared" si="16"/>
        <v>2160</v>
      </c>
      <c r="AM10" s="142">
        <f>AI10+AJ10+AK10+AL10</f>
        <v>8640</v>
      </c>
      <c r="AN10" s="143"/>
      <c r="AO10" s="137" t="str">
        <f t="shared" ref="AO10:AO41" si="23">AB10</f>
        <v xml:space="preserve">   НДС</v>
      </c>
      <c r="AP10" s="138" t="str">
        <f>AC10</f>
        <v>тыс. руб.</v>
      </c>
      <c r="AQ10" s="132">
        <f>AI10</f>
        <v>2160</v>
      </c>
      <c r="AR10" s="132">
        <f t="shared" si="20"/>
        <v>2160</v>
      </c>
      <c r="AS10" s="132">
        <f t="shared" si="20"/>
        <v>2160</v>
      </c>
      <c r="AT10" s="132">
        <f t="shared" si="20"/>
        <v>2160</v>
      </c>
      <c r="AU10" s="141">
        <f>AQ10+AR10+AS10+AT10</f>
        <v>8640</v>
      </c>
      <c r="AV10" s="132">
        <v>250</v>
      </c>
      <c r="AW10" s="132">
        <v>500</v>
      </c>
      <c r="AX10" s="132">
        <v>1000</v>
      </c>
      <c r="AY10" s="132">
        <v>500</v>
      </c>
      <c r="AZ10" s="142">
        <f>AV10+AW10+AX10+AY10</f>
        <v>2250</v>
      </c>
    </row>
    <row r="11" spans="1:52" ht="12.6" customHeight="1">
      <c r="A11" s="129">
        <f>IF(B11="Продукция (услуга, работа)",A6,A6+1)</f>
        <v>2</v>
      </c>
      <c r="B11" s="238" t="str">
        <f>'Исходные данные'!F82</f>
        <v xml:space="preserve">продажа 1м3 ПСБ-С-15 </v>
      </c>
      <c r="C11" s="239"/>
      <c r="D11" s="240"/>
      <c r="E11" s="240"/>
      <c r="F11" s="240"/>
      <c r="G11" s="240"/>
      <c r="H11" s="240"/>
      <c r="I11" s="240"/>
      <c r="J11" s="240"/>
      <c r="K11" s="240"/>
      <c r="L11" s="240"/>
      <c r="M11" s="132"/>
      <c r="N11" s="133">
        <f>A11</f>
        <v>2</v>
      </c>
      <c r="O11" s="130" t="str">
        <f t="shared" si="21"/>
        <v xml:space="preserve">продажа 1м3 ПСБ-С-15 </v>
      </c>
      <c r="P11" s="131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4">
        <f>N11</f>
        <v>2</v>
      </c>
      <c r="AB11" s="130" t="str">
        <f t="shared" si="22"/>
        <v xml:space="preserve">продажа 1м3 ПСБ-С-15 </v>
      </c>
      <c r="AC11" s="131"/>
      <c r="AD11" s="132"/>
      <c r="AE11" s="132"/>
      <c r="AF11" s="132"/>
      <c r="AG11" s="132"/>
      <c r="AH11" s="132"/>
      <c r="AI11" s="132"/>
      <c r="AJ11" s="132"/>
      <c r="AK11" s="132"/>
      <c r="AL11" s="132"/>
      <c r="AM11" s="135"/>
      <c r="AN11" s="134">
        <f>AA11</f>
        <v>2</v>
      </c>
      <c r="AO11" s="130" t="str">
        <f t="shared" si="23"/>
        <v xml:space="preserve">продажа 1м3 ПСБ-С-15 </v>
      </c>
      <c r="AP11" s="131"/>
      <c r="AQ11" s="132"/>
      <c r="AR11" s="132"/>
      <c r="AS11" s="132"/>
      <c r="AT11" s="132"/>
      <c r="AU11" s="132"/>
      <c r="AV11" s="132"/>
      <c r="AW11" s="132"/>
      <c r="AX11" s="132"/>
      <c r="AY11" s="132"/>
      <c r="AZ11" s="135"/>
    </row>
    <row r="12" spans="1:52" ht="12.6" customHeight="1">
      <c r="A12" s="136" t="s">
        <v>94</v>
      </c>
      <c r="B12" s="241" t="s">
        <v>106</v>
      </c>
      <c r="C12" s="242" t="s">
        <v>33</v>
      </c>
      <c r="D12" s="243">
        <v>0</v>
      </c>
      <c r="E12" s="243">
        <f t="shared" ref="E12:G13" si="24">D12</f>
        <v>0</v>
      </c>
      <c r="F12" s="243">
        <f t="shared" si="24"/>
        <v>0</v>
      </c>
      <c r="G12" s="243">
        <f t="shared" si="24"/>
        <v>0</v>
      </c>
      <c r="H12" s="240">
        <f>D12+E12+F12+G12</f>
        <v>0</v>
      </c>
      <c r="I12" s="243">
        <v>3600</v>
      </c>
      <c r="J12" s="243">
        <f>I12</f>
        <v>3600</v>
      </c>
      <c r="K12" s="243">
        <f>I12</f>
        <v>3600</v>
      </c>
      <c r="L12" s="243">
        <f>I12</f>
        <v>3600</v>
      </c>
      <c r="M12" s="132">
        <f>I12+J12+K12+L12</f>
        <v>14400</v>
      </c>
      <c r="N12" s="136" t="str">
        <f>A12</f>
        <v>2.1.</v>
      </c>
      <c r="O12" s="137" t="str">
        <f t="shared" si="21"/>
        <v>Объем производства</v>
      </c>
      <c r="P12" s="138" t="str">
        <f>C12</f>
        <v>ед.</v>
      </c>
      <c r="Q12" s="234">
        <f>I12</f>
        <v>3600</v>
      </c>
      <c r="R12" s="234">
        <f t="shared" ref="R12:T12" si="25">J12</f>
        <v>3600</v>
      </c>
      <c r="S12" s="234">
        <f t="shared" si="25"/>
        <v>3600</v>
      </c>
      <c r="T12" s="234">
        <f t="shared" si="25"/>
        <v>3600</v>
      </c>
      <c r="U12" s="132">
        <f>Q12+R12+S12+T12</f>
        <v>14400</v>
      </c>
      <c r="V12" s="234">
        <f>Q12</f>
        <v>3600</v>
      </c>
      <c r="W12" s="234">
        <f t="shared" ref="W12:X12" si="26">R12</f>
        <v>3600</v>
      </c>
      <c r="X12" s="234">
        <f t="shared" si="26"/>
        <v>3600</v>
      </c>
      <c r="Y12" s="234">
        <f>T12</f>
        <v>3600</v>
      </c>
      <c r="Z12" s="132">
        <f>V12+W12+X12+Y12</f>
        <v>14400</v>
      </c>
      <c r="AA12" s="136" t="str">
        <f>N12</f>
        <v>2.1.</v>
      </c>
      <c r="AB12" s="137" t="str">
        <f t="shared" si="22"/>
        <v>Объем производства</v>
      </c>
      <c r="AC12" s="138" t="str">
        <f>P12</f>
        <v>ед.</v>
      </c>
      <c r="AD12" s="234">
        <f>3600</f>
        <v>3600</v>
      </c>
      <c r="AE12" s="234">
        <f>3600</f>
        <v>3600</v>
      </c>
      <c r="AF12" s="234">
        <f>3600</f>
        <v>3600</v>
      </c>
      <c r="AG12" s="234">
        <f>3600</f>
        <v>3600</v>
      </c>
      <c r="AH12" s="132">
        <f>AD12+AE12+AF12+AG12</f>
        <v>14400</v>
      </c>
      <c r="AI12" s="234">
        <f>AD12</f>
        <v>3600</v>
      </c>
      <c r="AJ12" s="234">
        <f t="shared" ref="AJ12:AL12" si="27">AE12</f>
        <v>3600</v>
      </c>
      <c r="AK12" s="234">
        <f t="shared" si="27"/>
        <v>3600</v>
      </c>
      <c r="AL12" s="234">
        <f t="shared" si="27"/>
        <v>3600</v>
      </c>
      <c r="AM12" s="135">
        <f>AI12+AJ12+AK12+AL12</f>
        <v>14400</v>
      </c>
      <c r="AN12" s="136" t="str">
        <f>AA12</f>
        <v>2.1.</v>
      </c>
      <c r="AO12" s="137" t="str">
        <f t="shared" si="23"/>
        <v>Объем производства</v>
      </c>
      <c r="AP12" s="138" t="str">
        <f>AC12</f>
        <v>ед.</v>
      </c>
      <c r="AQ12" s="234">
        <f>AI12</f>
        <v>3600</v>
      </c>
      <c r="AR12" s="234">
        <f t="shared" ref="AR12:AT12" si="28">AJ12</f>
        <v>3600</v>
      </c>
      <c r="AS12" s="234">
        <f t="shared" si="28"/>
        <v>3600</v>
      </c>
      <c r="AT12" s="234">
        <f t="shared" si="28"/>
        <v>3600</v>
      </c>
      <c r="AU12" s="132">
        <f>AQ12+AR12+AS12+AT12</f>
        <v>14400</v>
      </c>
      <c r="AV12" s="234">
        <f>AQ12</f>
        <v>3600</v>
      </c>
      <c r="AW12" s="234">
        <f t="shared" ref="AW12:AY12" si="29">AR12</f>
        <v>3600</v>
      </c>
      <c r="AX12" s="234">
        <f t="shared" si="29"/>
        <v>3600</v>
      </c>
      <c r="AY12" s="234">
        <f t="shared" si="29"/>
        <v>3600</v>
      </c>
      <c r="AZ12" s="135">
        <f>AV12+AW12+AX12+AY12</f>
        <v>14400</v>
      </c>
    </row>
    <row r="13" spans="1:52" ht="12.6" customHeight="1">
      <c r="A13" s="140" t="s">
        <v>96</v>
      </c>
      <c r="B13" s="241" t="s">
        <v>107</v>
      </c>
      <c r="C13" s="242" t="s">
        <v>108</v>
      </c>
      <c r="D13" s="240">
        <v>0</v>
      </c>
      <c r="E13" s="240">
        <f t="shared" si="24"/>
        <v>0</v>
      </c>
      <c r="F13" s="240">
        <f t="shared" si="24"/>
        <v>0</v>
      </c>
      <c r="G13" s="240">
        <f t="shared" si="24"/>
        <v>0</v>
      </c>
      <c r="H13" s="240">
        <f>G13</f>
        <v>0</v>
      </c>
      <c r="I13" s="240">
        <f>'Исходные данные'!C82</f>
        <v>1.35</v>
      </c>
      <c r="J13" s="240">
        <f>I13</f>
        <v>1.35</v>
      </c>
      <c r="K13" s="240">
        <f>J13</f>
        <v>1.35</v>
      </c>
      <c r="L13" s="240">
        <f>K13</f>
        <v>1.35</v>
      </c>
      <c r="M13" s="132">
        <f>L13</f>
        <v>1.35</v>
      </c>
      <c r="N13" s="140" t="str">
        <f>A13</f>
        <v>2.2.</v>
      </c>
      <c r="O13" s="137" t="str">
        <f t="shared" si="21"/>
        <v>Цена реализации</v>
      </c>
      <c r="P13" s="138" t="str">
        <f>C13</f>
        <v>тыс. руб.</v>
      </c>
      <c r="Q13" s="139">
        <f>I13</f>
        <v>1.35</v>
      </c>
      <c r="R13" s="139">
        <f>I13</f>
        <v>1.35</v>
      </c>
      <c r="S13" s="139">
        <f>I13</f>
        <v>1.35</v>
      </c>
      <c r="T13" s="139">
        <f>I13</f>
        <v>1.35</v>
      </c>
      <c r="U13" s="132">
        <f>T13</f>
        <v>1.35</v>
      </c>
      <c r="V13" s="132">
        <f>1.35</f>
        <v>1.35</v>
      </c>
      <c r="W13" s="132">
        <f t="shared" ref="W13:Y13" si="30">1.35</f>
        <v>1.35</v>
      </c>
      <c r="X13" s="132">
        <f t="shared" si="30"/>
        <v>1.35</v>
      </c>
      <c r="Y13" s="132">
        <f t="shared" si="30"/>
        <v>1.35</v>
      </c>
      <c r="Z13" s="132">
        <v>1.2</v>
      </c>
      <c r="AA13" s="140" t="str">
        <f>N13</f>
        <v>2.2.</v>
      </c>
      <c r="AB13" s="137" t="str">
        <f t="shared" si="22"/>
        <v>Цена реализации</v>
      </c>
      <c r="AC13" s="138" t="str">
        <f>P13</f>
        <v>тыс. руб.</v>
      </c>
      <c r="AD13" s="132">
        <f>V13</f>
        <v>1.35</v>
      </c>
      <c r="AE13" s="132">
        <f t="shared" ref="AE13:AF15" si="31">W13</f>
        <v>1.35</v>
      </c>
      <c r="AF13" s="132">
        <f t="shared" si="31"/>
        <v>1.35</v>
      </c>
      <c r="AG13" s="132">
        <f>Y13</f>
        <v>1.35</v>
      </c>
      <c r="AH13" s="132">
        <f>AG13</f>
        <v>1.35</v>
      </c>
      <c r="AI13" s="132">
        <f>AD13</f>
        <v>1.35</v>
      </c>
      <c r="AJ13" s="132">
        <f t="shared" ref="AJ13:AL15" si="32">AE13</f>
        <v>1.35</v>
      </c>
      <c r="AK13" s="132">
        <f t="shared" si="32"/>
        <v>1.35</v>
      </c>
      <c r="AL13" s="132">
        <f t="shared" si="32"/>
        <v>1.35</v>
      </c>
      <c r="AM13" s="135">
        <f>AL13</f>
        <v>1.35</v>
      </c>
      <c r="AN13" s="140" t="str">
        <f>AA13</f>
        <v>2.2.</v>
      </c>
      <c r="AO13" s="137" t="str">
        <f t="shared" si="23"/>
        <v>Цена реализации</v>
      </c>
      <c r="AP13" s="138" t="str">
        <f>AC13</f>
        <v>тыс. руб.</v>
      </c>
      <c r="AQ13" s="132">
        <f>1.35</f>
        <v>1.35</v>
      </c>
      <c r="AR13" s="132">
        <f t="shared" ref="AR13:AT13" si="33">1.35</f>
        <v>1.35</v>
      </c>
      <c r="AS13" s="132">
        <f t="shared" si="33"/>
        <v>1.35</v>
      </c>
      <c r="AT13" s="132">
        <f t="shared" si="33"/>
        <v>1.35</v>
      </c>
      <c r="AU13" s="132">
        <f>AT13</f>
        <v>1.35</v>
      </c>
      <c r="AV13" s="132">
        <f>AQ13</f>
        <v>1.35</v>
      </c>
      <c r="AW13" s="132">
        <f t="shared" ref="AW13:AY15" si="34">AR13</f>
        <v>1.35</v>
      </c>
      <c r="AX13" s="132">
        <f t="shared" si="34"/>
        <v>1.35</v>
      </c>
      <c r="AY13" s="132">
        <f t="shared" si="34"/>
        <v>1.35</v>
      </c>
      <c r="AZ13" s="135">
        <f>AY13</f>
        <v>1.35</v>
      </c>
    </row>
    <row r="14" spans="1:52" ht="12.6" customHeight="1">
      <c r="A14" s="140" t="s">
        <v>98</v>
      </c>
      <c r="B14" s="241" t="s">
        <v>109</v>
      </c>
      <c r="C14" s="242" t="s">
        <v>108</v>
      </c>
      <c r="D14" s="240">
        <f>D12*D13</f>
        <v>0</v>
      </c>
      <c r="E14" s="240">
        <f>E12*E13</f>
        <v>0</v>
      </c>
      <c r="F14" s="240">
        <f>F12*F13</f>
        <v>0</v>
      </c>
      <c r="G14" s="240">
        <f>G12*G13</f>
        <v>0</v>
      </c>
      <c r="H14" s="244">
        <f>D14+E14+F14+G14</f>
        <v>0</v>
      </c>
      <c r="I14" s="240">
        <f>I12*I13</f>
        <v>4860</v>
      </c>
      <c r="J14" s="240">
        <f>J12*J13</f>
        <v>4860</v>
      </c>
      <c r="K14" s="240">
        <f>K12*K13</f>
        <v>4860</v>
      </c>
      <c r="L14" s="240">
        <f>L12*L13</f>
        <v>4860</v>
      </c>
      <c r="M14" s="141">
        <f>I14+J14+K14+L14</f>
        <v>19440</v>
      </c>
      <c r="N14" s="140" t="str">
        <f>A14</f>
        <v>2.3.</v>
      </c>
      <c r="O14" s="137" t="str">
        <f t="shared" si="21"/>
        <v>Выручка от реализации, в т.ч.:</v>
      </c>
      <c r="P14" s="138" t="str">
        <f>C14</f>
        <v>тыс. руб.</v>
      </c>
      <c r="Q14" s="132">
        <f>I14</f>
        <v>4860</v>
      </c>
      <c r="R14" s="132">
        <f t="shared" ref="R14:T15" si="35">J14</f>
        <v>4860</v>
      </c>
      <c r="S14" s="132">
        <f t="shared" si="35"/>
        <v>4860</v>
      </c>
      <c r="T14" s="132">
        <f t="shared" si="35"/>
        <v>4860</v>
      </c>
      <c r="U14" s="141">
        <f>Q14+R14+S14+T14</f>
        <v>19440</v>
      </c>
      <c r="V14" s="132">
        <f t="shared" ref="V14:V15" si="36">Q14</f>
        <v>4860</v>
      </c>
      <c r="W14" s="132">
        <f t="shared" ref="W14:Y15" si="37">R14</f>
        <v>4860</v>
      </c>
      <c r="X14" s="132">
        <f t="shared" si="37"/>
        <v>4860</v>
      </c>
      <c r="Y14" s="132">
        <f t="shared" si="37"/>
        <v>4860</v>
      </c>
      <c r="Z14" s="141">
        <f>V14+W14+X14+Y14</f>
        <v>19440</v>
      </c>
      <c r="AA14" s="140" t="str">
        <f>N14</f>
        <v>2.3.</v>
      </c>
      <c r="AB14" s="137" t="str">
        <f t="shared" si="22"/>
        <v>Выручка от реализации, в т.ч.:</v>
      </c>
      <c r="AC14" s="138" t="str">
        <f>P14</f>
        <v>тыс. руб.</v>
      </c>
      <c r="AD14" s="132">
        <f>V14</f>
        <v>4860</v>
      </c>
      <c r="AE14" s="132">
        <f t="shared" si="31"/>
        <v>4860</v>
      </c>
      <c r="AF14" s="132">
        <f t="shared" si="31"/>
        <v>4860</v>
      </c>
      <c r="AG14" s="132">
        <f t="shared" ref="AG14:AG15" si="38">Y14</f>
        <v>4860</v>
      </c>
      <c r="AH14" s="141">
        <f>AD14+AE14+AF14+AG14</f>
        <v>19440</v>
      </c>
      <c r="AI14" s="132">
        <f>AD14</f>
        <v>4860</v>
      </c>
      <c r="AJ14" s="132">
        <f t="shared" si="32"/>
        <v>4860</v>
      </c>
      <c r="AK14" s="132">
        <f t="shared" si="32"/>
        <v>4860</v>
      </c>
      <c r="AL14" s="132">
        <f t="shared" si="32"/>
        <v>4860</v>
      </c>
      <c r="AM14" s="142">
        <f>AI14+AJ14+AK14+AL14</f>
        <v>19440</v>
      </c>
      <c r="AN14" s="140" t="str">
        <f>AA14</f>
        <v>2.3.</v>
      </c>
      <c r="AO14" s="137" t="str">
        <f t="shared" si="23"/>
        <v>Выручка от реализации, в т.ч.:</v>
      </c>
      <c r="AP14" s="138" t="str">
        <f>AC14</f>
        <v>тыс. руб.</v>
      </c>
      <c r="AQ14" s="132">
        <f>AI14</f>
        <v>4860</v>
      </c>
      <c r="AR14" s="132">
        <f t="shared" ref="AR14:AT15" si="39">AJ14</f>
        <v>4860</v>
      </c>
      <c r="AS14" s="132">
        <f t="shared" si="39"/>
        <v>4860</v>
      </c>
      <c r="AT14" s="132">
        <f t="shared" si="39"/>
        <v>4860</v>
      </c>
      <c r="AU14" s="141">
        <f>AQ14+AR14+AS14+AT14</f>
        <v>19440</v>
      </c>
      <c r="AV14" s="132">
        <f>AQ14</f>
        <v>4860</v>
      </c>
      <c r="AW14" s="132">
        <f t="shared" si="34"/>
        <v>4860</v>
      </c>
      <c r="AX14" s="132">
        <f t="shared" si="34"/>
        <v>4860</v>
      </c>
      <c r="AY14" s="132">
        <f t="shared" si="34"/>
        <v>4860</v>
      </c>
      <c r="AZ14" s="142">
        <f>AV14+AW14+AX14+AY14</f>
        <v>19440</v>
      </c>
    </row>
    <row r="15" spans="1:52" ht="12.6" customHeight="1">
      <c r="A15" s="143"/>
      <c r="B15" s="241" t="s">
        <v>110</v>
      </c>
      <c r="C15" s="242" t="s">
        <v>108</v>
      </c>
      <c r="D15" s="240">
        <f>D14/118*18</f>
        <v>0</v>
      </c>
      <c r="E15" s="240">
        <f>E14/118*18</f>
        <v>0</v>
      </c>
      <c r="F15" s="240">
        <f>F14/118*18</f>
        <v>0</v>
      </c>
      <c r="G15" s="240">
        <f>G14/118*18</f>
        <v>0</v>
      </c>
      <c r="H15" s="244">
        <f>D15+E15+F15+G15</f>
        <v>0</v>
      </c>
      <c r="I15" s="240">
        <f>I14/120*20</f>
        <v>810</v>
      </c>
      <c r="J15" s="240">
        <f>J14/120*20</f>
        <v>810</v>
      </c>
      <c r="K15" s="240">
        <f>K14/120*20</f>
        <v>810</v>
      </c>
      <c r="L15" s="240">
        <f>L14/120*20</f>
        <v>810</v>
      </c>
      <c r="M15" s="141">
        <f>I15+J15+K15+L15</f>
        <v>3240</v>
      </c>
      <c r="N15" s="143"/>
      <c r="O15" s="137" t="str">
        <f t="shared" si="21"/>
        <v xml:space="preserve">   НДС</v>
      </c>
      <c r="P15" s="138" t="str">
        <f>C15</f>
        <v>тыс. руб.</v>
      </c>
      <c r="Q15" s="132">
        <f>I15</f>
        <v>810</v>
      </c>
      <c r="R15" s="132">
        <f t="shared" si="35"/>
        <v>810</v>
      </c>
      <c r="S15" s="132">
        <f t="shared" si="35"/>
        <v>810</v>
      </c>
      <c r="T15" s="132">
        <f t="shared" si="35"/>
        <v>810</v>
      </c>
      <c r="U15" s="141">
        <f>Q15+R15+S15+T15</f>
        <v>3240</v>
      </c>
      <c r="V15" s="132">
        <f t="shared" si="36"/>
        <v>810</v>
      </c>
      <c r="W15" s="132">
        <f t="shared" si="37"/>
        <v>810</v>
      </c>
      <c r="X15" s="132">
        <f t="shared" si="37"/>
        <v>810</v>
      </c>
      <c r="Y15" s="132">
        <f t="shared" si="37"/>
        <v>810</v>
      </c>
      <c r="Z15" s="141">
        <f>V15+W15+X15+Y15</f>
        <v>3240</v>
      </c>
      <c r="AA15" s="143"/>
      <c r="AB15" s="137" t="str">
        <f t="shared" si="22"/>
        <v xml:space="preserve">   НДС</v>
      </c>
      <c r="AC15" s="138" t="str">
        <f>P15</f>
        <v>тыс. руб.</v>
      </c>
      <c r="AD15" s="132">
        <f>V15</f>
        <v>810</v>
      </c>
      <c r="AE15" s="132">
        <f t="shared" si="31"/>
        <v>810</v>
      </c>
      <c r="AF15" s="132">
        <f t="shared" si="31"/>
        <v>810</v>
      </c>
      <c r="AG15" s="132">
        <f t="shared" si="38"/>
        <v>810</v>
      </c>
      <c r="AH15" s="141">
        <f>AD15+AE15+AF15+AG15</f>
        <v>3240</v>
      </c>
      <c r="AI15" s="132">
        <f>AD15</f>
        <v>810</v>
      </c>
      <c r="AJ15" s="132">
        <f t="shared" si="32"/>
        <v>810</v>
      </c>
      <c r="AK15" s="132">
        <f t="shared" si="32"/>
        <v>810</v>
      </c>
      <c r="AL15" s="132">
        <f t="shared" si="32"/>
        <v>810</v>
      </c>
      <c r="AM15" s="142">
        <f>AI15+AJ15+AK15+AL15</f>
        <v>3240</v>
      </c>
      <c r="AN15" s="143"/>
      <c r="AO15" s="137" t="str">
        <f t="shared" si="23"/>
        <v xml:space="preserve">   НДС</v>
      </c>
      <c r="AP15" s="138" t="str">
        <f>AC15</f>
        <v>тыс. руб.</v>
      </c>
      <c r="AQ15" s="132">
        <f>AI15</f>
        <v>810</v>
      </c>
      <c r="AR15" s="132">
        <f t="shared" si="39"/>
        <v>810</v>
      </c>
      <c r="AS15" s="132">
        <f t="shared" si="39"/>
        <v>810</v>
      </c>
      <c r="AT15" s="132">
        <f t="shared" si="39"/>
        <v>810</v>
      </c>
      <c r="AU15" s="141">
        <f>AQ15+AR15+AS15+AT15</f>
        <v>3240</v>
      </c>
      <c r="AV15" s="132">
        <f>AQ15</f>
        <v>810</v>
      </c>
      <c r="AW15" s="132">
        <f t="shared" si="34"/>
        <v>810</v>
      </c>
      <c r="AX15" s="132">
        <f t="shared" si="34"/>
        <v>810</v>
      </c>
      <c r="AY15" s="132">
        <f t="shared" si="34"/>
        <v>810</v>
      </c>
      <c r="AZ15" s="142">
        <f>AV15+AW15+AX15+AY15</f>
        <v>3240</v>
      </c>
    </row>
    <row r="16" spans="1:52" ht="12.6" customHeight="1">
      <c r="A16" s="129">
        <f>IF(B16="Продукция (услуга, работа)",A11,A11+1)</f>
        <v>3</v>
      </c>
      <c r="B16" s="238" t="str">
        <f>'Исходные данные'!F83</f>
        <v>продажа 1м3 ПСБ-С-25</v>
      </c>
      <c r="C16" s="239"/>
      <c r="D16" s="240"/>
      <c r="E16" s="240"/>
      <c r="F16" s="240"/>
      <c r="G16" s="240"/>
      <c r="H16" s="240"/>
      <c r="I16" s="240"/>
      <c r="J16" s="240"/>
      <c r="K16" s="240"/>
      <c r="L16" s="240"/>
      <c r="M16" s="132"/>
      <c r="N16" s="133">
        <f>A16</f>
        <v>3</v>
      </c>
      <c r="O16" s="130" t="str">
        <f t="shared" si="21"/>
        <v>продажа 1м3 ПСБ-С-25</v>
      </c>
      <c r="P16" s="131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4">
        <f>N16</f>
        <v>3</v>
      </c>
      <c r="AB16" s="130" t="str">
        <f t="shared" si="22"/>
        <v>продажа 1м3 ПСБ-С-25</v>
      </c>
      <c r="AC16" s="131"/>
      <c r="AD16" s="132"/>
      <c r="AE16" s="132"/>
      <c r="AF16" s="132"/>
      <c r="AG16" s="132"/>
      <c r="AH16" s="132"/>
      <c r="AI16" s="132"/>
      <c r="AJ16" s="132"/>
      <c r="AK16" s="132"/>
      <c r="AL16" s="132"/>
      <c r="AM16" s="135"/>
      <c r="AN16" s="134">
        <f>AA16</f>
        <v>3</v>
      </c>
      <c r="AO16" s="130" t="str">
        <f t="shared" si="23"/>
        <v>продажа 1м3 ПСБ-С-25</v>
      </c>
      <c r="AP16" s="131"/>
      <c r="AQ16" s="132"/>
      <c r="AR16" s="132"/>
      <c r="AS16" s="132"/>
      <c r="AT16" s="132"/>
      <c r="AU16" s="132"/>
      <c r="AV16" s="132"/>
      <c r="AW16" s="132"/>
      <c r="AX16" s="132"/>
      <c r="AY16" s="132"/>
      <c r="AZ16" s="135"/>
    </row>
    <row r="17" spans="1:52" ht="12.6" customHeight="1">
      <c r="A17" s="136" t="s">
        <v>111</v>
      </c>
      <c r="B17" s="241" t="s">
        <v>106</v>
      </c>
      <c r="C17" s="242" t="s">
        <v>33</v>
      </c>
      <c r="D17" s="243">
        <v>0</v>
      </c>
      <c r="E17" s="243">
        <f t="shared" ref="E17:G18" si="40">D17</f>
        <v>0</v>
      </c>
      <c r="F17" s="243">
        <f t="shared" si="40"/>
        <v>0</v>
      </c>
      <c r="G17" s="243">
        <f t="shared" si="40"/>
        <v>0</v>
      </c>
      <c r="H17" s="240">
        <f>D17+E17+F17+G17</f>
        <v>0</v>
      </c>
      <c r="I17" s="243">
        <v>3600</v>
      </c>
      <c r="J17" s="243">
        <v>3600</v>
      </c>
      <c r="K17" s="243">
        <v>3600</v>
      </c>
      <c r="L17" s="243">
        <v>3600</v>
      </c>
      <c r="M17" s="132">
        <f>I17+J17+K17+L17</f>
        <v>14400</v>
      </c>
      <c r="N17" s="136" t="str">
        <f>A17</f>
        <v>3.1.</v>
      </c>
      <c r="O17" s="137" t="str">
        <f t="shared" si="21"/>
        <v>Объем производства</v>
      </c>
      <c r="P17" s="138" t="str">
        <f>C17</f>
        <v>ед.</v>
      </c>
      <c r="Q17" s="234">
        <f>I17</f>
        <v>3600</v>
      </c>
      <c r="R17" s="234">
        <f t="shared" ref="R17:T17" si="41">J17</f>
        <v>3600</v>
      </c>
      <c r="S17" s="234">
        <f t="shared" si="41"/>
        <v>3600</v>
      </c>
      <c r="T17" s="234">
        <f t="shared" si="41"/>
        <v>3600</v>
      </c>
      <c r="U17" s="132">
        <f>Q17+R17+S17+T17</f>
        <v>14400</v>
      </c>
      <c r="V17" s="234">
        <f>Q17</f>
        <v>3600</v>
      </c>
      <c r="W17" s="234">
        <f t="shared" ref="W17:Y17" si="42">R17</f>
        <v>3600</v>
      </c>
      <c r="X17" s="234">
        <f t="shared" si="42"/>
        <v>3600</v>
      </c>
      <c r="Y17" s="234">
        <f t="shared" si="42"/>
        <v>3600</v>
      </c>
      <c r="Z17" s="132">
        <f>V17+W17+X17+Y17</f>
        <v>14400</v>
      </c>
      <c r="AA17" s="136" t="str">
        <f>N17</f>
        <v>3.1.</v>
      </c>
      <c r="AB17" s="137" t="str">
        <f t="shared" si="22"/>
        <v>Объем производства</v>
      </c>
      <c r="AC17" s="138" t="str">
        <f>P17</f>
        <v>ед.</v>
      </c>
      <c r="AD17" s="234">
        <f>3600</f>
        <v>3600</v>
      </c>
      <c r="AE17" s="234">
        <f>3600</f>
        <v>3600</v>
      </c>
      <c r="AF17" s="234">
        <f>3600</f>
        <v>3600</v>
      </c>
      <c r="AG17" s="234">
        <f>3600</f>
        <v>3600</v>
      </c>
      <c r="AH17" s="132">
        <f>AD17+AE17+AF17+AG17</f>
        <v>14400</v>
      </c>
      <c r="AI17" s="234">
        <f>AD17</f>
        <v>3600</v>
      </c>
      <c r="AJ17" s="234">
        <f t="shared" ref="AJ17:AK17" si="43">AE17</f>
        <v>3600</v>
      </c>
      <c r="AK17" s="234">
        <f t="shared" si="43"/>
        <v>3600</v>
      </c>
      <c r="AL17" s="234">
        <f>AG17</f>
        <v>3600</v>
      </c>
      <c r="AM17" s="135">
        <f>AI17+AJ17+AK17+AL17</f>
        <v>14400</v>
      </c>
      <c r="AN17" s="136" t="str">
        <f>AA17</f>
        <v>3.1.</v>
      </c>
      <c r="AO17" s="137" t="str">
        <f t="shared" si="23"/>
        <v>Объем производства</v>
      </c>
      <c r="AP17" s="138" t="str">
        <f>AC17</f>
        <v>ед.</v>
      </c>
      <c r="AQ17" s="234">
        <f>AI17</f>
        <v>3600</v>
      </c>
      <c r="AR17" s="234">
        <f t="shared" ref="AR17:AT17" si="44">AJ17</f>
        <v>3600</v>
      </c>
      <c r="AS17" s="234">
        <f t="shared" si="44"/>
        <v>3600</v>
      </c>
      <c r="AT17" s="234">
        <f t="shared" si="44"/>
        <v>3600</v>
      </c>
      <c r="AU17" s="132">
        <f>AQ17+AR17+AS17+AT17</f>
        <v>14400</v>
      </c>
      <c r="AV17" s="234">
        <f>AQ17</f>
        <v>3600</v>
      </c>
      <c r="AW17" s="234">
        <f t="shared" ref="AW17:AY17" si="45">AR17</f>
        <v>3600</v>
      </c>
      <c r="AX17" s="234">
        <f t="shared" si="45"/>
        <v>3600</v>
      </c>
      <c r="AY17" s="234">
        <f t="shared" si="45"/>
        <v>3600</v>
      </c>
      <c r="AZ17" s="135">
        <f>AV17+AW17+AX17+AY17</f>
        <v>14400</v>
      </c>
    </row>
    <row r="18" spans="1:52" ht="18.600000000000001" customHeight="1">
      <c r="A18" s="140" t="s">
        <v>112</v>
      </c>
      <c r="B18" s="241" t="s">
        <v>107</v>
      </c>
      <c r="C18" s="242" t="s">
        <v>108</v>
      </c>
      <c r="D18" s="240">
        <v>0</v>
      </c>
      <c r="E18" s="240">
        <f t="shared" si="40"/>
        <v>0</v>
      </c>
      <c r="F18" s="240">
        <f t="shared" si="40"/>
        <v>0</v>
      </c>
      <c r="G18" s="240">
        <f t="shared" si="40"/>
        <v>0</v>
      </c>
      <c r="H18" s="240">
        <v>0</v>
      </c>
      <c r="I18" s="240">
        <f>'Исходные данные'!C83</f>
        <v>2.0499999999999998</v>
      </c>
      <c r="J18" s="240">
        <f>I18</f>
        <v>2.0499999999999998</v>
      </c>
      <c r="K18" s="240">
        <f>J18</f>
        <v>2.0499999999999998</v>
      </c>
      <c r="L18" s="240">
        <f>K18</f>
        <v>2.0499999999999998</v>
      </c>
      <c r="M18" s="132">
        <f>L18</f>
        <v>2.0499999999999998</v>
      </c>
      <c r="N18" s="140" t="str">
        <f>A18</f>
        <v>3.2.</v>
      </c>
      <c r="O18" s="137" t="str">
        <f t="shared" si="21"/>
        <v>Цена реализации</v>
      </c>
      <c r="P18" s="138" t="str">
        <f>C18</f>
        <v>тыс. руб.</v>
      </c>
      <c r="Q18" s="132">
        <f>I18</f>
        <v>2.0499999999999998</v>
      </c>
      <c r="R18" s="132">
        <f t="shared" ref="R18:T20" si="46">J18</f>
        <v>2.0499999999999998</v>
      </c>
      <c r="S18" s="132">
        <f t="shared" si="46"/>
        <v>2.0499999999999998</v>
      </c>
      <c r="T18" s="132">
        <f t="shared" si="46"/>
        <v>2.0499999999999998</v>
      </c>
      <c r="U18" s="132">
        <f>T18</f>
        <v>2.0499999999999998</v>
      </c>
      <c r="V18" s="132">
        <f>T18</f>
        <v>2.0499999999999998</v>
      </c>
      <c r="W18" s="132">
        <f t="shared" ref="W18:Y18" si="47">U18</f>
        <v>2.0499999999999998</v>
      </c>
      <c r="X18" s="132">
        <f t="shared" si="47"/>
        <v>2.0499999999999998</v>
      </c>
      <c r="Y18" s="132">
        <f t="shared" si="47"/>
        <v>2.0499999999999998</v>
      </c>
      <c r="Z18" s="132">
        <f>Y18</f>
        <v>2.0499999999999998</v>
      </c>
      <c r="AA18" s="140" t="str">
        <f>N18</f>
        <v>3.2.</v>
      </c>
      <c r="AB18" s="137" t="str">
        <f t="shared" si="22"/>
        <v>Цена реализации</v>
      </c>
      <c r="AC18" s="138" t="str">
        <f>P18</f>
        <v>тыс. руб.</v>
      </c>
      <c r="AD18" s="132">
        <f>V18</f>
        <v>2.0499999999999998</v>
      </c>
      <c r="AE18" s="132">
        <f t="shared" ref="AE18:AG20" si="48">W18</f>
        <v>2.0499999999999998</v>
      </c>
      <c r="AF18" s="132">
        <f t="shared" si="48"/>
        <v>2.0499999999999998</v>
      </c>
      <c r="AG18" s="132">
        <f t="shared" si="48"/>
        <v>2.0499999999999998</v>
      </c>
      <c r="AH18" s="132">
        <f>AG18</f>
        <v>2.0499999999999998</v>
      </c>
      <c r="AI18" s="132">
        <f>AD18</f>
        <v>2.0499999999999998</v>
      </c>
      <c r="AJ18" s="132">
        <f t="shared" ref="AJ18:AL20" si="49">AE18</f>
        <v>2.0499999999999998</v>
      </c>
      <c r="AK18" s="132">
        <f t="shared" si="49"/>
        <v>2.0499999999999998</v>
      </c>
      <c r="AL18" s="132">
        <f t="shared" si="49"/>
        <v>2.0499999999999998</v>
      </c>
      <c r="AM18" s="135">
        <f>AL18</f>
        <v>2.0499999999999998</v>
      </c>
      <c r="AN18" s="140" t="str">
        <f>AA18</f>
        <v>3.2.</v>
      </c>
      <c r="AO18" s="137" t="str">
        <f t="shared" si="23"/>
        <v>Цена реализации</v>
      </c>
      <c r="AP18" s="138" t="str">
        <f>AC18</f>
        <v>тыс. руб.</v>
      </c>
      <c r="AQ18" s="132">
        <f>AL18</f>
        <v>2.0499999999999998</v>
      </c>
      <c r="AR18" s="132">
        <f>2.05</f>
        <v>2.0499999999999998</v>
      </c>
      <c r="AS18" s="132">
        <f t="shared" ref="AS18:AT18" si="50">2.05</f>
        <v>2.0499999999999998</v>
      </c>
      <c r="AT18" s="132">
        <f t="shared" si="50"/>
        <v>2.0499999999999998</v>
      </c>
      <c r="AU18" s="132">
        <f>AT18</f>
        <v>2.0499999999999998</v>
      </c>
      <c r="AV18" s="132">
        <f>AQ18</f>
        <v>2.0499999999999998</v>
      </c>
      <c r="AW18" s="132">
        <f t="shared" ref="AW18:AX20" si="51">AR18</f>
        <v>2.0499999999999998</v>
      </c>
      <c r="AX18" s="132">
        <f t="shared" si="51"/>
        <v>2.0499999999999998</v>
      </c>
      <c r="AY18" s="132">
        <f>AT18</f>
        <v>2.0499999999999998</v>
      </c>
      <c r="AZ18" s="135">
        <f>AY18</f>
        <v>2.0499999999999998</v>
      </c>
    </row>
    <row r="19" spans="1:52" ht="12.6" customHeight="1">
      <c r="A19" s="140" t="s">
        <v>113</v>
      </c>
      <c r="B19" s="241" t="s">
        <v>109</v>
      </c>
      <c r="C19" s="242" t="s">
        <v>108</v>
      </c>
      <c r="D19" s="240">
        <f>D17*D18</f>
        <v>0</v>
      </c>
      <c r="E19" s="240">
        <f>E17*E18</f>
        <v>0</v>
      </c>
      <c r="F19" s="240">
        <f>F17*F18</f>
        <v>0</v>
      </c>
      <c r="G19" s="240">
        <f>G17*G18</f>
        <v>0</v>
      </c>
      <c r="H19" s="244">
        <f>D19+E19+F19+G19</f>
        <v>0</v>
      </c>
      <c r="I19" s="240">
        <f>I17*I18</f>
        <v>7379.9999999999991</v>
      </c>
      <c r="J19" s="240">
        <f>J17*J18</f>
        <v>7379.9999999999991</v>
      </c>
      <c r="K19" s="240">
        <f>K17*K18</f>
        <v>7379.9999999999991</v>
      </c>
      <c r="L19" s="240">
        <f>L17*L18</f>
        <v>7379.9999999999991</v>
      </c>
      <c r="M19" s="141">
        <f>I19+J19+K19+L19</f>
        <v>29519.999999999996</v>
      </c>
      <c r="N19" s="140" t="str">
        <f>A19</f>
        <v>3.3.</v>
      </c>
      <c r="O19" s="137" t="str">
        <f t="shared" si="21"/>
        <v>Выручка от реализации, в т.ч.:</v>
      </c>
      <c r="P19" s="138" t="str">
        <f>C19</f>
        <v>тыс. руб.</v>
      </c>
      <c r="Q19" s="132">
        <f>I19</f>
        <v>7379.9999999999991</v>
      </c>
      <c r="R19" s="132">
        <f t="shared" si="46"/>
        <v>7379.9999999999991</v>
      </c>
      <c r="S19" s="132">
        <f t="shared" si="46"/>
        <v>7379.9999999999991</v>
      </c>
      <c r="T19" s="132">
        <f t="shared" si="46"/>
        <v>7379.9999999999991</v>
      </c>
      <c r="U19" s="141">
        <f>Q19+R19+S19+T19</f>
        <v>29519.999999999996</v>
      </c>
      <c r="V19" s="132">
        <f>Q19</f>
        <v>7379.9999999999991</v>
      </c>
      <c r="W19" s="132">
        <f t="shared" ref="W19:Y20" si="52">R19</f>
        <v>7379.9999999999991</v>
      </c>
      <c r="X19" s="132">
        <f t="shared" si="52"/>
        <v>7379.9999999999991</v>
      </c>
      <c r="Y19" s="132">
        <f t="shared" si="52"/>
        <v>7379.9999999999991</v>
      </c>
      <c r="Z19" s="141">
        <f>V19+W19+X19+Y19</f>
        <v>29519.999999999996</v>
      </c>
      <c r="AA19" s="140" t="str">
        <f>N19</f>
        <v>3.3.</v>
      </c>
      <c r="AB19" s="137" t="str">
        <f t="shared" si="22"/>
        <v>Выручка от реализации, в т.ч.:</v>
      </c>
      <c r="AC19" s="138" t="str">
        <f>P19</f>
        <v>тыс. руб.</v>
      </c>
      <c r="AD19" s="132">
        <f>V19</f>
        <v>7379.9999999999991</v>
      </c>
      <c r="AE19" s="132">
        <f t="shared" si="48"/>
        <v>7379.9999999999991</v>
      </c>
      <c r="AF19" s="132">
        <f t="shared" si="48"/>
        <v>7379.9999999999991</v>
      </c>
      <c r="AG19" s="132">
        <f t="shared" si="48"/>
        <v>7379.9999999999991</v>
      </c>
      <c r="AH19" s="141">
        <f>AD19+AE19+AF19+AG19</f>
        <v>29519.999999999996</v>
      </c>
      <c r="AI19" s="132">
        <f>AD19</f>
        <v>7379.9999999999991</v>
      </c>
      <c r="AJ19" s="132">
        <f t="shared" si="49"/>
        <v>7379.9999999999991</v>
      </c>
      <c r="AK19" s="132">
        <f t="shared" si="49"/>
        <v>7379.9999999999991</v>
      </c>
      <c r="AL19" s="132">
        <f t="shared" si="49"/>
        <v>7379.9999999999991</v>
      </c>
      <c r="AM19" s="142">
        <f>AI19+AJ19+AK19+AL19</f>
        <v>29519.999999999996</v>
      </c>
      <c r="AN19" s="140" t="str">
        <f>AA19</f>
        <v>3.3.</v>
      </c>
      <c r="AO19" s="137" t="str">
        <f t="shared" si="23"/>
        <v>Выручка от реализации, в т.ч.:</v>
      </c>
      <c r="AP19" s="138" t="str">
        <f>AC19</f>
        <v>тыс. руб.</v>
      </c>
      <c r="AQ19" s="132">
        <f>AI19</f>
        <v>7379.9999999999991</v>
      </c>
      <c r="AR19" s="132">
        <f t="shared" ref="AR19:AT20" si="53">AJ19</f>
        <v>7379.9999999999991</v>
      </c>
      <c r="AS19" s="132">
        <f t="shared" si="53"/>
        <v>7379.9999999999991</v>
      </c>
      <c r="AT19" s="132">
        <f t="shared" si="53"/>
        <v>7379.9999999999991</v>
      </c>
      <c r="AU19" s="141">
        <f>AQ19+AR19+AS19+AT19</f>
        <v>29519.999999999996</v>
      </c>
      <c r="AV19" s="132">
        <f>AQ19</f>
        <v>7379.9999999999991</v>
      </c>
      <c r="AW19" s="132">
        <f t="shared" si="51"/>
        <v>7379.9999999999991</v>
      </c>
      <c r="AX19" s="132">
        <f t="shared" si="51"/>
        <v>7379.9999999999991</v>
      </c>
      <c r="AY19" s="132">
        <f t="shared" ref="AY19:AY20" si="54">AT19</f>
        <v>7379.9999999999991</v>
      </c>
      <c r="AZ19" s="142">
        <f>AV19+AW19+AX19+AY19</f>
        <v>29519.999999999996</v>
      </c>
    </row>
    <row r="20" spans="1:52" ht="12.6" customHeight="1">
      <c r="A20" s="143"/>
      <c r="B20" s="241" t="s">
        <v>110</v>
      </c>
      <c r="C20" s="242" t="s">
        <v>108</v>
      </c>
      <c r="D20" s="240">
        <f>D19/118*18</f>
        <v>0</v>
      </c>
      <c r="E20" s="240">
        <f>E19/118*18</f>
        <v>0</v>
      </c>
      <c r="F20" s="240">
        <f>F19/118*18</f>
        <v>0</v>
      </c>
      <c r="G20" s="240">
        <f>G19/118*18</f>
        <v>0</v>
      </c>
      <c r="H20" s="244">
        <f>D20+E20+F20+G20</f>
        <v>0</v>
      </c>
      <c r="I20" s="240">
        <f>I19/120*20</f>
        <v>1229.9999999999998</v>
      </c>
      <c r="J20" s="240">
        <f>J19/120*20</f>
        <v>1229.9999999999998</v>
      </c>
      <c r="K20" s="240">
        <f>K19/120*20</f>
        <v>1229.9999999999998</v>
      </c>
      <c r="L20" s="240">
        <f>L19/120*20</f>
        <v>1229.9999999999998</v>
      </c>
      <c r="M20" s="141">
        <f>I20+J20+K20+L20</f>
        <v>4919.9999999999991</v>
      </c>
      <c r="N20" s="143"/>
      <c r="O20" s="137" t="str">
        <f t="shared" si="21"/>
        <v xml:space="preserve">   НДС</v>
      </c>
      <c r="P20" s="138" t="str">
        <f>C20</f>
        <v>тыс. руб.</v>
      </c>
      <c r="Q20" s="132">
        <f>I20</f>
        <v>1229.9999999999998</v>
      </c>
      <c r="R20" s="132">
        <f t="shared" si="46"/>
        <v>1229.9999999999998</v>
      </c>
      <c r="S20" s="132">
        <f t="shared" si="46"/>
        <v>1229.9999999999998</v>
      </c>
      <c r="T20" s="132">
        <f t="shared" si="46"/>
        <v>1229.9999999999998</v>
      </c>
      <c r="U20" s="141">
        <f>Q20+R20+S20+T20</f>
        <v>4919.9999999999991</v>
      </c>
      <c r="V20" s="132">
        <f>Q20</f>
        <v>1229.9999999999998</v>
      </c>
      <c r="W20" s="132">
        <f t="shared" si="52"/>
        <v>1229.9999999999998</v>
      </c>
      <c r="X20" s="132">
        <f t="shared" si="52"/>
        <v>1229.9999999999998</v>
      </c>
      <c r="Y20" s="132">
        <f>T20</f>
        <v>1229.9999999999998</v>
      </c>
      <c r="Z20" s="141">
        <f>V20+W20+X20+Y20</f>
        <v>4919.9999999999991</v>
      </c>
      <c r="AA20" s="143"/>
      <c r="AB20" s="137" t="str">
        <f t="shared" si="22"/>
        <v xml:space="preserve">   НДС</v>
      </c>
      <c r="AC20" s="138" t="str">
        <f>P20</f>
        <v>тыс. руб.</v>
      </c>
      <c r="AD20" s="132">
        <f>V20</f>
        <v>1229.9999999999998</v>
      </c>
      <c r="AE20" s="132">
        <f t="shared" si="48"/>
        <v>1229.9999999999998</v>
      </c>
      <c r="AF20" s="132">
        <f t="shared" si="48"/>
        <v>1229.9999999999998</v>
      </c>
      <c r="AG20" s="132">
        <f t="shared" si="48"/>
        <v>1229.9999999999998</v>
      </c>
      <c r="AH20" s="141">
        <f>AD20+AE20+AF20+AG20</f>
        <v>4919.9999999999991</v>
      </c>
      <c r="AI20" s="132">
        <f>AD20</f>
        <v>1229.9999999999998</v>
      </c>
      <c r="AJ20" s="132">
        <f t="shared" si="49"/>
        <v>1229.9999999999998</v>
      </c>
      <c r="AK20" s="132">
        <f t="shared" si="49"/>
        <v>1229.9999999999998</v>
      </c>
      <c r="AL20" s="132">
        <f t="shared" si="49"/>
        <v>1229.9999999999998</v>
      </c>
      <c r="AM20" s="142">
        <f>AI20+AJ20+AK20+AL20</f>
        <v>4919.9999999999991</v>
      </c>
      <c r="AN20" s="143"/>
      <c r="AO20" s="137" t="str">
        <f t="shared" si="23"/>
        <v xml:space="preserve">   НДС</v>
      </c>
      <c r="AP20" s="138" t="str">
        <f>AC20</f>
        <v>тыс. руб.</v>
      </c>
      <c r="AQ20" s="132">
        <f>AI20</f>
        <v>1229.9999999999998</v>
      </c>
      <c r="AR20" s="132">
        <f t="shared" si="53"/>
        <v>1229.9999999999998</v>
      </c>
      <c r="AS20" s="132">
        <f t="shared" si="53"/>
        <v>1229.9999999999998</v>
      </c>
      <c r="AT20" s="132">
        <f t="shared" si="53"/>
        <v>1229.9999999999998</v>
      </c>
      <c r="AU20" s="141">
        <f>AQ20+AR20+AS20+AT20</f>
        <v>4919.9999999999991</v>
      </c>
      <c r="AV20" s="132">
        <f>AQ20</f>
        <v>1229.9999999999998</v>
      </c>
      <c r="AW20" s="132">
        <f t="shared" si="51"/>
        <v>1229.9999999999998</v>
      </c>
      <c r="AX20" s="132">
        <f t="shared" si="51"/>
        <v>1229.9999999999998</v>
      </c>
      <c r="AY20" s="132">
        <f t="shared" si="54"/>
        <v>1229.9999999999998</v>
      </c>
      <c r="AZ20" s="142">
        <f>AV20+AW20+AX20+AY20</f>
        <v>4919.9999999999991</v>
      </c>
    </row>
    <row r="21" spans="1:52" ht="12.6" customHeight="1">
      <c r="A21" s="129">
        <f>IF(B21="Продукция (услуга, работа)",A16,A16+1)</f>
        <v>4</v>
      </c>
      <c r="B21" s="238" t="str">
        <f>'Исходные данные'!F84</f>
        <v>продажа 1м3 ПСБ-С-25 Ф</v>
      </c>
      <c r="C21" s="239"/>
      <c r="D21" s="240"/>
      <c r="E21" s="240"/>
      <c r="F21" s="240"/>
      <c r="G21" s="240"/>
      <c r="H21" s="240"/>
      <c r="I21" s="240"/>
      <c r="J21" s="240"/>
      <c r="K21" s="240"/>
      <c r="L21" s="240"/>
      <c r="M21" s="132"/>
      <c r="N21" s="133">
        <f>A21</f>
        <v>4</v>
      </c>
      <c r="O21" s="130" t="str">
        <f t="shared" si="21"/>
        <v>продажа 1м3 ПСБ-С-25 Ф</v>
      </c>
      <c r="P21" s="131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4">
        <f>N21</f>
        <v>4</v>
      </c>
      <c r="AB21" s="130" t="str">
        <f t="shared" si="22"/>
        <v>продажа 1м3 ПСБ-С-25 Ф</v>
      </c>
      <c r="AC21" s="131"/>
      <c r="AD21" s="132"/>
      <c r="AE21" s="132"/>
      <c r="AF21" s="132"/>
      <c r="AG21" s="132"/>
      <c r="AH21" s="132"/>
      <c r="AI21" s="132"/>
      <c r="AJ21" s="132"/>
      <c r="AK21" s="132"/>
      <c r="AL21" s="132"/>
      <c r="AM21" s="135"/>
      <c r="AN21" s="134">
        <f>AA21</f>
        <v>4</v>
      </c>
      <c r="AO21" s="130" t="str">
        <f t="shared" si="23"/>
        <v>продажа 1м3 ПСБ-С-25 Ф</v>
      </c>
      <c r="AP21" s="131"/>
      <c r="AQ21" s="132"/>
      <c r="AR21" s="132"/>
      <c r="AS21" s="132"/>
      <c r="AT21" s="132"/>
      <c r="AU21" s="132"/>
      <c r="AV21" s="132"/>
      <c r="AW21" s="132"/>
      <c r="AX21" s="132"/>
      <c r="AY21" s="132"/>
      <c r="AZ21" s="135"/>
    </row>
    <row r="22" spans="1:52" ht="12.6" customHeight="1">
      <c r="A22" s="136" t="s">
        <v>114</v>
      </c>
      <c r="B22" s="241" t="s">
        <v>106</v>
      </c>
      <c r="C22" s="242" t="s">
        <v>115</v>
      </c>
      <c r="D22" s="243">
        <v>0</v>
      </c>
      <c r="E22" s="243">
        <f t="shared" ref="E22:G23" si="55">D22</f>
        <v>0</v>
      </c>
      <c r="F22" s="243">
        <f t="shared" si="55"/>
        <v>0</v>
      </c>
      <c r="G22" s="243">
        <f t="shared" si="55"/>
        <v>0</v>
      </c>
      <c r="H22" s="240">
        <f>D22+E22+F22+G22</f>
        <v>0</v>
      </c>
      <c r="I22" s="243">
        <v>3600</v>
      </c>
      <c r="J22" s="243">
        <v>3600</v>
      </c>
      <c r="K22" s="243">
        <v>3600</v>
      </c>
      <c r="L22" s="243">
        <v>3600</v>
      </c>
      <c r="M22" s="132">
        <f>I22+J22+K22+L22</f>
        <v>14400</v>
      </c>
      <c r="N22" s="136" t="str">
        <f>A22</f>
        <v>4.1.</v>
      </c>
      <c r="O22" s="137" t="str">
        <f t="shared" si="21"/>
        <v>Объем производства</v>
      </c>
      <c r="P22" s="138" t="str">
        <f>C22</f>
        <v>ед</v>
      </c>
      <c r="Q22" s="234">
        <f>I22</f>
        <v>3600</v>
      </c>
      <c r="R22" s="234">
        <f t="shared" ref="R22:T22" si="56">J22</f>
        <v>3600</v>
      </c>
      <c r="S22" s="234">
        <f t="shared" si="56"/>
        <v>3600</v>
      </c>
      <c r="T22" s="234">
        <f t="shared" si="56"/>
        <v>3600</v>
      </c>
      <c r="U22" s="235">
        <f>Q22+R22+S22+T22</f>
        <v>14400</v>
      </c>
      <c r="V22" s="234">
        <f>Q22</f>
        <v>3600</v>
      </c>
      <c r="W22" s="234">
        <f t="shared" ref="W22:Y22" si="57">R22</f>
        <v>3600</v>
      </c>
      <c r="X22" s="234">
        <f t="shared" si="57"/>
        <v>3600</v>
      </c>
      <c r="Y22" s="234">
        <f t="shared" si="57"/>
        <v>3600</v>
      </c>
      <c r="Z22" s="132">
        <f>V22+W22+X22+Y22</f>
        <v>14400</v>
      </c>
      <c r="AA22" s="136" t="str">
        <f>N22</f>
        <v>4.1.</v>
      </c>
      <c r="AB22" s="137" t="str">
        <f t="shared" si="22"/>
        <v>Объем производства</v>
      </c>
      <c r="AC22" s="138" t="str">
        <f>P22</f>
        <v>ед</v>
      </c>
      <c r="AD22" s="234">
        <f>3600</f>
        <v>3600</v>
      </c>
      <c r="AE22" s="234">
        <f>3600</f>
        <v>3600</v>
      </c>
      <c r="AF22" s="234">
        <f>3600</f>
        <v>3600</v>
      </c>
      <c r="AG22" s="234">
        <f>3600</f>
        <v>3600</v>
      </c>
      <c r="AH22" s="132">
        <f>AD22+AE22+AF22+AG22</f>
        <v>14400</v>
      </c>
      <c r="AI22" s="234">
        <f>AD22</f>
        <v>3600</v>
      </c>
      <c r="AJ22" s="234">
        <f t="shared" ref="AJ22:AK22" si="58">AE22</f>
        <v>3600</v>
      </c>
      <c r="AK22" s="234">
        <f t="shared" si="58"/>
        <v>3600</v>
      </c>
      <c r="AL22" s="234">
        <f>AG22</f>
        <v>3600</v>
      </c>
      <c r="AM22" s="135">
        <f>AI22+AJ22+AK22+AL22</f>
        <v>14400</v>
      </c>
      <c r="AN22" s="136" t="str">
        <f>AA22</f>
        <v>4.1.</v>
      </c>
      <c r="AO22" s="137" t="str">
        <f t="shared" si="23"/>
        <v>Объем производства</v>
      </c>
      <c r="AP22" s="138" t="str">
        <f>AC22</f>
        <v>ед</v>
      </c>
      <c r="AQ22" s="234">
        <f>AI22</f>
        <v>3600</v>
      </c>
      <c r="AR22" s="234">
        <f t="shared" ref="AR22:AT22" si="59">AJ22</f>
        <v>3600</v>
      </c>
      <c r="AS22" s="234">
        <f t="shared" si="59"/>
        <v>3600</v>
      </c>
      <c r="AT22" s="234">
        <f t="shared" si="59"/>
        <v>3600</v>
      </c>
      <c r="AU22" s="132">
        <f>AQ22+AR22+AS22+AT22</f>
        <v>14400</v>
      </c>
      <c r="AV22" s="234">
        <f>AQ22</f>
        <v>3600</v>
      </c>
      <c r="AW22" s="234">
        <f t="shared" ref="AW22:AY22" si="60">AR22</f>
        <v>3600</v>
      </c>
      <c r="AX22" s="234">
        <f t="shared" si="60"/>
        <v>3600</v>
      </c>
      <c r="AY22" s="234">
        <f t="shared" si="60"/>
        <v>3600</v>
      </c>
      <c r="AZ22" s="135">
        <f>AV22+AW22+AX22+AY22</f>
        <v>14400</v>
      </c>
    </row>
    <row r="23" spans="1:52" ht="12.6" customHeight="1">
      <c r="A23" s="140" t="s">
        <v>116</v>
      </c>
      <c r="B23" s="241" t="s">
        <v>107</v>
      </c>
      <c r="C23" s="242" t="s">
        <v>108</v>
      </c>
      <c r="D23" s="240">
        <v>0</v>
      </c>
      <c r="E23" s="240">
        <f t="shared" si="55"/>
        <v>0</v>
      </c>
      <c r="F23" s="240">
        <f t="shared" si="55"/>
        <v>0</v>
      </c>
      <c r="G23" s="240">
        <f t="shared" si="55"/>
        <v>0</v>
      </c>
      <c r="H23" s="240">
        <v>0</v>
      </c>
      <c r="I23" s="240">
        <f>'Исходные данные'!C84</f>
        <v>2.2000000000000002</v>
      </c>
      <c r="J23" s="240">
        <f>I23</f>
        <v>2.2000000000000002</v>
      </c>
      <c r="K23" s="240">
        <f>J23</f>
        <v>2.2000000000000002</v>
      </c>
      <c r="L23" s="240">
        <f>K23</f>
        <v>2.2000000000000002</v>
      </c>
      <c r="M23" s="132">
        <f>L23</f>
        <v>2.2000000000000002</v>
      </c>
      <c r="N23" s="140" t="str">
        <f>A23</f>
        <v>4.2.</v>
      </c>
      <c r="O23" s="137" t="str">
        <f t="shared" si="21"/>
        <v>Цена реализации</v>
      </c>
      <c r="P23" s="138" t="str">
        <f>C23</f>
        <v>тыс. руб.</v>
      </c>
      <c r="Q23" s="132">
        <f>I23</f>
        <v>2.2000000000000002</v>
      </c>
      <c r="R23" s="132">
        <f t="shared" ref="R23:U23" si="61">J23</f>
        <v>2.2000000000000002</v>
      </c>
      <c r="S23" s="132">
        <f t="shared" si="61"/>
        <v>2.2000000000000002</v>
      </c>
      <c r="T23" s="132">
        <f t="shared" si="61"/>
        <v>2.2000000000000002</v>
      </c>
      <c r="U23" s="132">
        <f t="shared" si="61"/>
        <v>2.2000000000000002</v>
      </c>
      <c r="V23" s="132">
        <f>T23</f>
        <v>2.2000000000000002</v>
      </c>
      <c r="W23" s="132">
        <f t="shared" ref="W23:Y23" si="62">U23</f>
        <v>2.2000000000000002</v>
      </c>
      <c r="X23" s="132">
        <f t="shared" si="62"/>
        <v>2.2000000000000002</v>
      </c>
      <c r="Y23" s="132">
        <f t="shared" si="62"/>
        <v>2.2000000000000002</v>
      </c>
      <c r="Z23" s="132">
        <f>M23</f>
        <v>2.2000000000000002</v>
      </c>
      <c r="AA23" s="140" t="str">
        <f>N23</f>
        <v>4.2.</v>
      </c>
      <c r="AB23" s="137" t="str">
        <f t="shared" si="22"/>
        <v>Цена реализации</v>
      </c>
      <c r="AC23" s="138" t="str">
        <f>P23</f>
        <v>тыс. руб.</v>
      </c>
      <c r="AD23" s="132">
        <f>I23</f>
        <v>2.2000000000000002</v>
      </c>
      <c r="AE23" s="132">
        <f t="shared" ref="AE23:AG23" si="63">J23</f>
        <v>2.2000000000000002</v>
      </c>
      <c r="AF23" s="132">
        <f t="shared" si="63"/>
        <v>2.2000000000000002</v>
      </c>
      <c r="AG23" s="132">
        <f t="shared" si="63"/>
        <v>2.2000000000000002</v>
      </c>
      <c r="AH23" s="132">
        <f>I23</f>
        <v>2.2000000000000002</v>
      </c>
      <c r="AI23" s="132">
        <f>I23</f>
        <v>2.2000000000000002</v>
      </c>
      <c r="AJ23" s="132">
        <f t="shared" ref="AJ23:AL23" si="64">J23</f>
        <v>2.2000000000000002</v>
      </c>
      <c r="AK23" s="132">
        <f t="shared" si="64"/>
        <v>2.2000000000000002</v>
      </c>
      <c r="AL23" s="132">
        <f t="shared" si="64"/>
        <v>2.2000000000000002</v>
      </c>
      <c r="AM23" s="135">
        <f>AL23</f>
        <v>2.2000000000000002</v>
      </c>
      <c r="AN23" s="140" t="str">
        <f>AA23</f>
        <v>4.2.</v>
      </c>
      <c r="AO23" s="137" t="str">
        <f t="shared" si="23"/>
        <v>Цена реализации</v>
      </c>
      <c r="AP23" s="138" t="str">
        <f>AC23</f>
        <v>тыс. руб.</v>
      </c>
      <c r="AQ23" s="132">
        <f>AL23</f>
        <v>2.2000000000000002</v>
      </c>
      <c r="AR23" s="132">
        <f>2.2</f>
        <v>2.2000000000000002</v>
      </c>
      <c r="AS23" s="132">
        <f>2.2</f>
        <v>2.2000000000000002</v>
      </c>
      <c r="AT23" s="132">
        <f>2.2</f>
        <v>2.2000000000000002</v>
      </c>
      <c r="AU23" s="132">
        <f>AT23</f>
        <v>2.2000000000000002</v>
      </c>
      <c r="AV23" s="132">
        <f t="shared" ref="AV23" si="65">V23</f>
        <v>2.2000000000000002</v>
      </c>
      <c r="AW23" s="132">
        <f t="shared" ref="AW23" si="66">W23</f>
        <v>2.2000000000000002</v>
      </c>
      <c r="AX23" s="132">
        <f t="shared" ref="AX23" si="67">X23</f>
        <v>2.2000000000000002</v>
      </c>
      <c r="AY23" s="132">
        <f t="shared" ref="AY23" si="68">Y23</f>
        <v>2.2000000000000002</v>
      </c>
      <c r="AZ23" s="135">
        <f>AY23</f>
        <v>2.2000000000000002</v>
      </c>
    </row>
    <row r="24" spans="1:52" ht="12.6" customHeight="1">
      <c r="A24" s="140" t="s">
        <v>117</v>
      </c>
      <c r="B24" s="241" t="s">
        <v>109</v>
      </c>
      <c r="C24" s="242" t="s">
        <v>108</v>
      </c>
      <c r="D24" s="240">
        <f>D22*D23</f>
        <v>0</v>
      </c>
      <c r="E24" s="240">
        <f>E22*E23</f>
        <v>0</v>
      </c>
      <c r="F24" s="240">
        <f>F22*F23</f>
        <v>0</v>
      </c>
      <c r="G24" s="240">
        <f>G22*G23</f>
        <v>0</v>
      </c>
      <c r="H24" s="244">
        <f>D24+E24+F24+G24</f>
        <v>0</v>
      </c>
      <c r="I24" s="240">
        <f>I22*I23</f>
        <v>7920.0000000000009</v>
      </c>
      <c r="J24" s="240">
        <f>J22*J23</f>
        <v>7920.0000000000009</v>
      </c>
      <c r="K24" s="240">
        <f>K22*K23</f>
        <v>7920.0000000000009</v>
      </c>
      <c r="L24" s="240">
        <f>L22*L23</f>
        <v>7920.0000000000009</v>
      </c>
      <c r="M24" s="141">
        <f>I24+J24+K24+L24</f>
        <v>31680.000000000004</v>
      </c>
      <c r="N24" s="140" t="str">
        <f>A24</f>
        <v>4.3.</v>
      </c>
      <c r="O24" s="137" t="str">
        <f t="shared" si="21"/>
        <v>Выручка от реализации, в т.ч.:</v>
      </c>
      <c r="P24" s="138" t="str">
        <f>C24</f>
        <v>тыс. руб.</v>
      </c>
      <c r="Q24" s="132">
        <f>Q22*Q23</f>
        <v>7920.0000000000009</v>
      </c>
      <c r="R24" s="132">
        <f t="shared" ref="R24:Z24" si="69">R22*R23</f>
        <v>7920.0000000000009</v>
      </c>
      <c r="S24" s="132">
        <f t="shared" si="69"/>
        <v>7920.0000000000009</v>
      </c>
      <c r="T24" s="132">
        <f t="shared" si="69"/>
        <v>7920.0000000000009</v>
      </c>
      <c r="U24" s="132">
        <f t="shared" si="69"/>
        <v>31680.000000000004</v>
      </c>
      <c r="V24" s="132">
        <f t="shared" si="69"/>
        <v>7920.0000000000009</v>
      </c>
      <c r="W24" s="132">
        <f t="shared" si="69"/>
        <v>7920.0000000000009</v>
      </c>
      <c r="X24" s="132">
        <f t="shared" si="69"/>
        <v>7920.0000000000009</v>
      </c>
      <c r="Y24" s="132">
        <f t="shared" si="69"/>
        <v>7920.0000000000009</v>
      </c>
      <c r="Z24" s="132">
        <f t="shared" si="69"/>
        <v>31680.000000000004</v>
      </c>
      <c r="AA24" s="140" t="str">
        <f>N24</f>
        <v>4.3.</v>
      </c>
      <c r="AB24" s="137" t="str">
        <f t="shared" si="22"/>
        <v>Выручка от реализации, в т.ч.:</v>
      </c>
      <c r="AC24" s="138" t="str">
        <f>P24</f>
        <v>тыс. руб.</v>
      </c>
      <c r="AD24" s="132">
        <f>AD22*AD23</f>
        <v>7920.0000000000009</v>
      </c>
      <c r="AE24" s="132">
        <f>AE22*AE23</f>
        <v>7920.0000000000009</v>
      </c>
      <c r="AF24" s="132">
        <f t="shared" ref="AF24" si="70">AF22*AF23</f>
        <v>7920.0000000000009</v>
      </c>
      <c r="AG24" s="132">
        <f t="shared" ref="AG24" si="71">AG22*AG23</f>
        <v>7920.0000000000009</v>
      </c>
      <c r="AH24" s="141">
        <f>AD24+AE24+AF24+AG24</f>
        <v>31680.000000000004</v>
      </c>
      <c r="AI24" s="132">
        <f t="shared" ref="AI24" si="72">AI22*AI23</f>
        <v>7920.0000000000009</v>
      </c>
      <c r="AJ24" s="132">
        <f t="shared" ref="AJ24" si="73">AJ22*AJ23</f>
        <v>7920.0000000000009</v>
      </c>
      <c r="AK24" s="132">
        <f t="shared" ref="AK24" si="74">AK22*AK23</f>
        <v>7920.0000000000009</v>
      </c>
      <c r="AL24" s="132">
        <f t="shared" ref="AL24" si="75">AL22*AL23</f>
        <v>7920.0000000000009</v>
      </c>
      <c r="AM24" s="142">
        <f>AI24+AJ24+AK24+AL24</f>
        <v>31680.000000000004</v>
      </c>
      <c r="AN24" s="140" t="str">
        <f>AA24</f>
        <v>4.3.</v>
      </c>
      <c r="AO24" s="137" t="str">
        <f t="shared" si="23"/>
        <v>Выручка от реализации, в т.ч.:</v>
      </c>
      <c r="AP24" s="138" t="str">
        <f>AC24</f>
        <v>тыс. руб.</v>
      </c>
      <c r="AQ24" s="132">
        <f t="shared" ref="AQ24" si="76">AQ22*AQ23</f>
        <v>7920.0000000000009</v>
      </c>
      <c r="AR24" s="132">
        <f t="shared" ref="AR24" si="77">AR22*AR23</f>
        <v>7920.0000000000009</v>
      </c>
      <c r="AS24" s="132">
        <f t="shared" ref="AS24" si="78">AS22*AS23</f>
        <v>7920.0000000000009</v>
      </c>
      <c r="AT24" s="132">
        <f t="shared" ref="AT24" si="79">AT22*AT23</f>
        <v>7920.0000000000009</v>
      </c>
      <c r="AU24" s="132">
        <f t="shared" ref="AU24" si="80">AU22*AU23</f>
        <v>31680.000000000004</v>
      </c>
      <c r="AV24" s="132">
        <f t="shared" ref="AV24" si="81">AV22*AV23</f>
        <v>7920.0000000000009</v>
      </c>
      <c r="AW24" s="132">
        <f t="shared" ref="AW24" si="82">AW22*AW23</f>
        <v>7920.0000000000009</v>
      </c>
      <c r="AX24" s="132">
        <f t="shared" ref="AX24:AY24" si="83">AX22*AX23</f>
        <v>7920.0000000000009</v>
      </c>
      <c r="AY24" s="132">
        <f t="shared" si="83"/>
        <v>7920.0000000000009</v>
      </c>
      <c r="AZ24" s="236">
        <f t="shared" ref="AZ24" si="84">AZ22*AZ23</f>
        <v>31680.000000000004</v>
      </c>
    </row>
    <row r="25" spans="1:52" ht="12.6" customHeight="1">
      <c r="A25" s="143"/>
      <c r="B25" s="241" t="s">
        <v>110</v>
      </c>
      <c r="C25" s="242" t="s">
        <v>108</v>
      </c>
      <c r="D25" s="240">
        <f>D24/118*18</f>
        <v>0</v>
      </c>
      <c r="E25" s="240">
        <f>E24/118*18</f>
        <v>0</v>
      </c>
      <c r="F25" s="240">
        <f>F24/118*18</f>
        <v>0</v>
      </c>
      <c r="G25" s="240">
        <f>G24/118*18</f>
        <v>0</v>
      </c>
      <c r="H25" s="244">
        <f>D25+E25+F25+G25</f>
        <v>0</v>
      </c>
      <c r="I25" s="240">
        <f>I24/120*20</f>
        <v>1320.0000000000002</v>
      </c>
      <c r="J25" s="240">
        <f>J24/120*20</f>
        <v>1320.0000000000002</v>
      </c>
      <c r="K25" s="240">
        <f>K24/120*20</f>
        <v>1320.0000000000002</v>
      </c>
      <c r="L25" s="240">
        <f>L24/120*20</f>
        <v>1320.0000000000002</v>
      </c>
      <c r="M25" s="141">
        <f>I25+J25+K25+L25</f>
        <v>5280.0000000000009</v>
      </c>
      <c r="N25" s="143"/>
      <c r="O25" s="137" t="str">
        <f t="shared" si="21"/>
        <v xml:space="preserve">   НДС</v>
      </c>
      <c r="P25" s="138" t="str">
        <f>C25</f>
        <v>тыс. руб.</v>
      </c>
      <c r="Q25" s="132">
        <f>Q24/120*20</f>
        <v>1320.0000000000002</v>
      </c>
      <c r="R25" s="132">
        <f t="shared" ref="R25:Z25" si="85">R24/120*20</f>
        <v>1320.0000000000002</v>
      </c>
      <c r="S25" s="132">
        <f t="shared" si="85"/>
        <v>1320.0000000000002</v>
      </c>
      <c r="T25" s="132">
        <f t="shared" si="85"/>
        <v>1320.0000000000002</v>
      </c>
      <c r="U25" s="132">
        <f t="shared" si="85"/>
        <v>5280.0000000000009</v>
      </c>
      <c r="V25" s="132">
        <f t="shared" si="85"/>
        <v>1320.0000000000002</v>
      </c>
      <c r="W25" s="132">
        <f t="shared" si="85"/>
        <v>1320.0000000000002</v>
      </c>
      <c r="X25" s="132">
        <f t="shared" si="85"/>
        <v>1320.0000000000002</v>
      </c>
      <c r="Y25" s="132">
        <f t="shared" si="85"/>
        <v>1320.0000000000002</v>
      </c>
      <c r="Z25" s="132">
        <f t="shared" si="85"/>
        <v>5280.0000000000009</v>
      </c>
      <c r="AA25" s="143"/>
      <c r="AB25" s="137" t="str">
        <f t="shared" si="22"/>
        <v xml:space="preserve">   НДС</v>
      </c>
      <c r="AC25" s="138" t="str">
        <f>P25</f>
        <v>тыс. руб.</v>
      </c>
      <c r="AD25" s="132">
        <f t="shared" ref="AD25" si="86">AD24/120*20</f>
        <v>1320.0000000000002</v>
      </c>
      <c r="AE25" s="132">
        <f t="shared" ref="AE25" si="87">AE24/120*20</f>
        <v>1320.0000000000002</v>
      </c>
      <c r="AF25" s="132">
        <f t="shared" ref="AF25" si="88">AF24/120*20</f>
        <v>1320.0000000000002</v>
      </c>
      <c r="AG25" s="132">
        <f t="shared" ref="AG25" si="89">AG24/120*20</f>
        <v>1320.0000000000002</v>
      </c>
      <c r="AH25" s="141">
        <f>AD25+AE25+AF25+AG25</f>
        <v>5280.0000000000009</v>
      </c>
      <c r="AI25" s="132">
        <f t="shared" ref="AI25" si="90">AI24/120*20</f>
        <v>1320.0000000000002</v>
      </c>
      <c r="AJ25" s="132">
        <f t="shared" ref="AJ25" si="91">AJ24/120*20</f>
        <v>1320.0000000000002</v>
      </c>
      <c r="AK25" s="132">
        <f t="shared" ref="AK25" si="92">AK24/120*20</f>
        <v>1320.0000000000002</v>
      </c>
      <c r="AL25" s="132">
        <f t="shared" ref="AL25" si="93">AL24/120*20</f>
        <v>1320.0000000000002</v>
      </c>
      <c r="AM25" s="142">
        <f>AI25+AJ25+AK25+AL25</f>
        <v>5280.0000000000009</v>
      </c>
      <c r="AN25" s="143"/>
      <c r="AO25" s="137" t="str">
        <f t="shared" si="23"/>
        <v xml:space="preserve">   НДС</v>
      </c>
      <c r="AP25" s="138" t="str">
        <f>AC25</f>
        <v>тыс. руб.</v>
      </c>
      <c r="AQ25" s="132">
        <f t="shared" ref="AQ25" si="94">AQ24/120*20</f>
        <v>1320.0000000000002</v>
      </c>
      <c r="AR25" s="132">
        <f t="shared" ref="AR25" si="95">AR24/120*20</f>
        <v>1320.0000000000002</v>
      </c>
      <c r="AS25" s="132">
        <f t="shared" ref="AS25" si="96">AS24/120*20</f>
        <v>1320.0000000000002</v>
      </c>
      <c r="AT25" s="132">
        <f t="shared" ref="AT25" si="97">AT24/120*20</f>
        <v>1320.0000000000002</v>
      </c>
      <c r="AU25" s="132">
        <f t="shared" ref="AU25" si="98">AU24/120*20</f>
        <v>5280.0000000000009</v>
      </c>
      <c r="AV25" s="132">
        <f t="shared" ref="AV25" si="99">AV24/120*20</f>
        <v>1320.0000000000002</v>
      </c>
      <c r="AW25" s="132">
        <f t="shared" ref="AW25" si="100">AW24/120*20</f>
        <v>1320.0000000000002</v>
      </c>
      <c r="AX25" s="132">
        <f t="shared" ref="AX25:AY25" si="101">AX24/120*20</f>
        <v>1320.0000000000002</v>
      </c>
      <c r="AY25" s="132">
        <f t="shared" si="101"/>
        <v>1320.0000000000002</v>
      </c>
      <c r="AZ25" s="236">
        <f t="shared" ref="AZ25" si="102">AZ24/120*20</f>
        <v>5280.0000000000009</v>
      </c>
    </row>
    <row r="26" spans="1:52" ht="12.6" customHeight="1">
      <c r="A26" s="129">
        <f>IF(B26="Продукция (услуга, работа)",A21,A21+1)</f>
        <v>5</v>
      </c>
      <c r="B26" s="238" t="s">
        <v>332</v>
      </c>
      <c r="C26" s="239"/>
      <c r="D26" s="240"/>
      <c r="E26" s="240"/>
      <c r="F26" s="240"/>
      <c r="G26" s="240"/>
      <c r="H26" s="240"/>
      <c r="I26" s="240"/>
      <c r="J26" s="240"/>
      <c r="K26" s="240"/>
      <c r="L26" s="240"/>
      <c r="M26" s="132"/>
      <c r="N26" s="133">
        <f>A26</f>
        <v>5</v>
      </c>
      <c r="O26" s="130" t="str">
        <f t="shared" si="21"/>
        <v>продажа 1м3 ПСБ-С-35</v>
      </c>
      <c r="P26" s="131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4">
        <f>N26</f>
        <v>5</v>
      </c>
      <c r="AB26" s="130" t="str">
        <f t="shared" si="22"/>
        <v>продажа 1м3 ПСБ-С-35</v>
      </c>
      <c r="AC26" s="131"/>
      <c r="AD26" s="132"/>
      <c r="AE26" s="132"/>
      <c r="AF26" s="132"/>
      <c r="AG26" s="132"/>
      <c r="AH26" s="132"/>
      <c r="AI26" s="132"/>
      <c r="AJ26" s="132"/>
      <c r="AK26" s="132"/>
      <c r="AL26" s="132"/>
      <c r="AM26" s="135"/>
      <c r="AN26" s="134">
        <f>AA26</f>
        <v>5</v>
      </c>
      <c r="AO26" s="130" t="str">
        <f t="shared" si="23"/>
        <v>продажа 1м3 ПСБ-С-35</v>
      </c>
      <c r="AP26" s="131"/>
      <c r="AQ26" s="132"/>
      <c r="AR26" s="132"/>
      <c r="AS26" s="132"/>
      <c r="AT26" s="132"/>
      <c r="AU26" s="132"/>
      <c r="AV26" s="132"/>
      <c r="AW26" s="132"/>
      <c r="AX26" s="132"/>
      <c r="AY26" s="132"/>
      <c r="AZ26" s="135"/>
    </row>
    <row r="27" spans="1:52" ht="12.6" customHeight="1">
      <c r="A27" s="136" t="s">
        <v>118</v>
      </c>
      <c r="B27" s="241" t="s">
        <v>106</v>
      </c>
      <c r="C27" s="242" t="s">
        <v>115</v>
      </c>
      <c r="D27" s="243">
        <v>0</v>
      </c>
      <c r="E27" s="243">
        <f t="shared" ref="E27:G28" si="103">D27</f>
        <v>0</v>
      </c>
      <c r="F27" s="243">
        <f t="shared" si="103"/>
        <v>0</v>
      </c>
      <c r="G27" s="243">
        <f t="shared" si="103"/>
        <v>0</v>
      </c>
      <c r="H27" s="240">
        <f>D27+E27+F27+G27</f>
        <v>0</v>
      </c>
      <c r="I27" s="243">
        <v>3600</v>
      </c>
      <c r="J27" s="243">
        <v>3600</v>
      </c>
      <c r="K27" s="243">
        <v>3600</v>
      </c>
      <c r="L27" s="243">
        <v>3600</v>
      </c>
      <c r="M27" s="132">
        <f>I27+J27+K27+L27</f>
        <v>14400</v>
      </c>
      <c r="N27" s="136" t="str">
        <f>A27</f>
        <v>5.1.</v>
      </c>
      <c r="O27" s="137" t="str">
        <f t="shared" si="21"/>
        <v>Объем производства</v>
      </c>
      <c r="P27" s="138" t="str">
        <f>C27</f>
        <v>ед</v>
      </c>
      <c r="Q27" s="132">
        <f>I27</f>
        <v>3600</v>
      </c>
      <c r="R27" s="132">
        <f t="shared" ref="R27:S27" si="104">J27</f>
        <v>3600</v>
      </c>
      <c r="S27" s="132">
        <f t="shared" si="104"/>
        <v>3600</v>
      </c>
      <c r="T27" s="132">
        <f>L27</f>
        <v>3600</v>
      </c>
      <c r="U27" s="132">
        <f>Q27+R27+S27+T27</f>
        <v>14400</v>
      </c>
      <c r="V27" s="132">
        <f>Q27</f>
        <v>3600</v>
      </c>
      <c r="W27" s="132">
        <f t="shared" ref="W27:Y28" si="105">R27</f>
        <v>3600</v>
      </c>
      <c r="X27" s="132">
        <f t="shared" si="105"/>
        <v>3600</v>
      </c>
      <c r="Y27" s="132">
        <f t="shared" si="105"/>
        <v>3600</v>
      </c>
      <c r="Z27" s="132">
        <f>V27+W27+X27+Y27</f>
        <v>14400</v>
      </c>
      <c r="AA27" s="136" t="str">
        <f>N27</f>
        <v>5.1.</v>
      </c>
      <c r="AB27" s="137" t="str">
        <f t="shared" si="22"/>
        <v>Объем производства</v>
      </c>
      <c r="AC27" s="138" t="str">
        <f>P27</f>
        <v>ед</v>
      </c>
      <c r="AD27" s="132">
        <f>3600</f>
        <v>3600</v>
      </c>
      <c r="AE27" s="132">
        <f>3600</f>
        <v>3600</v>
      </c>
      <c r="AF27" s="132">
        <f>3600</f>
        <v>3600</v>
      </c>
      <c r="AG27" s="132">
        <f>3600</f>
        <v>3600</v>
      </c>
      <c r="AH27" s="132">
        <f>AD27+AE27+AF27+AG27</f>
        <v>14400</v>
      </c>
      <c r="AI27" s="132">
        <f>AD27</f>
        <v>3600</v>
      </c>
      <c r="AJ27" s="132">
        <f t="shared" ref="AJ27:AL28" si="106">AE27</f>
        <v>3600</v>
      </c>
      <c r="AK27" s="132">
        <f t="shared" si="106"/>
        <v>3600</v>
      </c>
      <c r="AL27" s="132">
        <f t="shared" si="106"/>
        <v>3600</v>
      </c>
      <c r="AM27" s="135">
        <f>AI27+AJ27+AK27+AL27</f>
        <v>14400</v>
      </c>
      <c r="AN27" s="136" t="str">
        <f>AA27</f>
        <v>5.1.</v>
      </c>
      <c r="AO27" s="137" t="str">
        <f t="shared" si="23"/>
        <v>Объем производства</v>
      </c>
      <c r="AP27" s="138" t="str">
        <f>AC27</f>
        <v>ед</v>
      </c>
      <c r="AQ27" s="132">
        <f>AI27</f>
        <v>3600</v>
      </c>
      <c r="AR27" s="132">
        <f t="shared" ref="AR27:AT28" si="107">AJ27</f>
        <v>3600</v>
      </c>
      <c r="AS27" s="132">
        <f t="shared" si="107"/>
        <v>3600</v>
      </c>
      <c r="AT27" s="132">
        <f t="shared" si="107"/>
        <v>3600</v>
      </c>
      <c r="AU27" s="132">
        <f>AQ27+AR27+AS27+AT27</f>
        <v>14400</v>
      </c>
      <c r="AV27" s="132">
        <f>AQ27</f>
        <v>3600</v>
      </c>
      <c r="AW27" s="132">
        <f t="shared" ref="AW27:AY28" si="108">AR27</f>
        <v>3600</v>
      </c>
      <c r="AX27" s="132">
        <f t="shared" si="108"/>
        <v>3600</v>
      </c>
      <c r="AY27" s="132">
        <f t="shared" si="108"/>
        <v>3600</v>
      </c>
      <c r="AZ27" s="135">
        <f>AV27+AW27+AX27+AY27</f>
        <v>14400</v>
      </c>
    </row>
    <row r="28" spans="1:52" ht="12.6" customHeight="1">
      <c r="A28" s="140" t="s">
        <v>119</v>
      </c>
      <c r="B28" s="241" t="s">
        <v>107</v>
      </c>
      <c r="C28" s="242" t="s">
        <v>108</v>
      </c>
      <c r="D28" s="240">
        <f>'Исходные данные'!C93</f>
        <v>0</v>
      </c>
      <c r="E28" s="240">
        <f t="shared" si="103"/>
        <v>0</v>
      </c>
      <c r="F28" s="240">
        <f t="shared" si="103"/>
        <v>0</v>
      </c>
      <c r="G28" s="240">
        <f t="shared" si="103"/>
        <v>0</v>
      </c>
      <c r="H28" s="240">
        <v>0</v>
      </c>
      <c r="I28" s="240">
        <f>'Исходные данные'!C85</f>
        <v>2.85</v>
      </c>
      <c r="J28" s="240">
        <f>I28</f>
        <v>2.85</v>
      </c>
      <c r="K28" s="240">
        <f>J28</f>
        <v>2.85</v>
      </c>
      <c r="L28" s="240">
        <f>K28</f>
        <v>2.85</v>
      </c>
      <c r="M28" s="132">
        <f>L28</f>
        <v>2.85</v>
      </c>
      <c r="N28" s="140" t="str">
        <f>A28</f>
        <v>5.2.</v>
      </c>
      <c r="O28" s="137" t="str">
        <f t="shared" si="21"/>
        <v>Цена реализации</v>
      </c>
      <c r="P28" s="138" t="str">
        <f>C28</f>
        <v>тыс. руб.</v>
      </c>
      <c r="Q28" s="132">
        <f>I28</f>
        <v>2.85</v>
      </c>
      <c r="R28" s="132">
        <f t="shared" ref="R28:U28" si="109">J28</f>
        <v>2.85</v>
      </c>
      <c r="S28" s="132">
        <f t="shared" si="109"/>
        <v>2.85</v>
      </c>
      <c r="T28" s="132">
        <f t="shared" si="109"/>
        <v>2.85</v>
      </c>
      <c r="U28" s="132">
        <f t="shared" si="109"/>
        <v>2.85</v>
      </c>
      <c r="V28" s="132">
        <f>Q28</f>
        <v>2.85</v>
      </c>
      <c r="W28" s="132">
        <f t="shared" si="105"/>
        <v>2.85</v>
      </c>
      <c r="X28" s="132">
        <f t="shared" si="105"/>
        <v>2.85</v>
      </c>
      <c r="Y28" s="132">
        <f t="shared" si="105"/>
        <v>2.85</v>
      </c>
      <c r="Z28" s="132">
        <f>Y28</f>
        <v>2.85</v>
      </c>
      <c r="AA28" s="140" t="str">
        <f>N28</f>
        <v>5.2.</v>
      </c>
      <c r="AB28" s="137" t="str">
        <f t="shared" si="22"/>
        <v>Цена реализации</v>
      </c>
      <c r="AC28" s="138" t="str">
        <f>P28</f>
        <v>тыс. руб.</v>
      </c>
      <c r="AD28" s="132">
        <f>V28</f>
        <v>2.85</v>
      </c>
      <c r="AE28" s="132">
        <f t="shared" ref="AE28:AG28" si="110">W28</f>
        <v>2.85</v>
      </c>
      <c r="AF28" s="132">
        <f t="shared" si="110"/>
        <v>2.85</v>
      </c>
      <c r="AG28" s="132">
        <f t="shared" si="110"/>
        <v>2.85</v>
      </c>
      <c r="AH28" s="132">
        <f>Z28</f>
        <v>2.85</v>
      </c>
      <c r="AI28" s="132">
        <f>AD28</f>
        <v>2.85</v>
      </c>
      <c r="AJ28" s="132">
        <f t="shared" si="106"/>
        <v>2.85</v>
      </c>
      <c r="AK28" s="132">
        <f t="shared" si="106"/>
        <v>2.85</v>
      </c>
      <c r="AL28" s="132">
        <f t="shared" si="106"/>
        <v>2.85</v>
      </c>
      <c r="AM28" s="135">
        <f>AL28</f>
        <v>2.85</v>
      </c>
      <c r="AN28" s="140" t="str">
        <f>AA28</f>
        <v>5.2.</v>
      </c>
      <c r="AO28" s="137" t="str">
        <f t="shared" si="23"/>
        <v>Цена реализации</v>
      </c>
      <c r="AP28" s="138" t="str">
        <f>AC28</f>
        <v>тыс. руб.</v>
      </c>
      <c r="AQ28" s="132">
        <f>AI28</f>
        <v>2.85</v>
      </c>
      <c r="AR28" s="132">
        <f t="shared" si="107"/>
        <v>2.85</v>
      </c>
      <c r="AS28" s="132">
        <f t="shared" si="107"/>
        <v>2.85</v>
      </c>
      <c r="AT28" s="132">
        <f t="shared" si="107"/>
        <v>2.85</v>
      </c>
      <c r="AU28" s="132">
        <f>AT28</f>
        <v>2.85</v>
      </c>
      <c r="AV28" s="132">
        <f>AQ28</f>
        <v>2.85</v>
      </c>
      <c r="AW28" s="132">
        <f t="shared" si="108"/>
        <v>2.85</v>
      </c>
      <c r="AX28" s="132">
        <f t="shared" si="108"/>
        <v>2.85</v>
      </c>
      <c r="AY28" s="132">
        <f t="shared" si="108"/>
        <v>2.85</v>
      </c>
      <c r="AZ28" s="135">
        <f>AY28</f>
        <v>2.85</v>
      </c>
    </row>
    <row r="29" spans="1:52" ht="12.6" customHeight="1">
      <c r="A29" s="140" t="s">
        <v>120</v>
      </c>
      <c r="B29" s="241" t="s">
        <v>109</v>
      </c>
      <c r="C29" s="242" t="s">
        <v>108</v>
      </c>
      <c r="D29" s="240">
        <f>D27*D28</f>
        <v>0</v>
      </c>
      <c r="E29" s="240">
        <f>E27*E28</f>
        <v>0</v>
      </c>
      <c r="F29" s="240">
        <f>F27*F28</f>
        <v>0</v>
      </c>
      <c r="G29" s="240">
        <f>G27*G28</f>
        <v>0</v>
      </c>
      <c r="H29" s="244">
        <f>D29+E29+F29+G29</f>
        <v>0</v>
      </c>
      <c r="I29" s="240">
        <f>I27*I28</f>
        <v>10260</v>
      </c>
      <c r="J29" s="240">
        <f>J27*J28</f>
        <v>10260</v>
      </c>
      <c r="K29" s="240">
        <f>K27*K28</f>
        <v>10260</v>
      </c>
      <c r="L29" s="240">
        <f>L27*L28</f>
        <v>10260</v>
      </c>
      <c r="M29" s="141">
        <f>I29+J29+K29+L29</f>
        <v>41040</v>
      </c>
      <c r="N29" s="140" t="str">
        <f>A29</f>
        <v>5.3.</v>
      </c>
      <c r="O29" s="137" t="str">
        <f t="shared" si="21"/>
        <v>Выручка от реализации, в т.ч.:</v>
      </c>
      <c r="P29" s="138" t="str">
        <f>C29</f>
        <v>тыс. руб.</v>
      </c>
      <c r="Q29" s="132">
        <f>Q27*Q28</f>
        <v>10260</v>
      </c>
      <c r="R29" s="132">
        <f t="shared" ref="R29:Y29" si="111">R27*R28</f>
        <v>10260</v>
      </c>
      <c r="S29" s="132">
        <f t="shared" si="111"/>
        <v>10260</v>
      </c>
      <c r="T29" s="132">
        <f t="shared" si="111"/>
        <v>10260</v>
      </c>
      <c r="U29" s="132">
        <f t="shared" si="111"/>
        <v>41040</v>
      </c>
      <c r="V29" s="132">
        <f t="shared" si="111"/>
        <v>10260</v>
      </c>
      <c r="W29" s="132">
        <f t="shared" si="111"/>
        <v>10260</v>
      </c>
      <c r="X29" s="132">
        <f t="shared" si="111"/>
        <v>10260</v>
      </c>
      <c r="Y29" s="132">
        <f t="shared" si="111"/>
        <v>10260</v>
      </c>
      <c r="Z29" s="132">
        <f>Z27*Z28</f>
        <v>41040</v>
      </c>
      <c r="AA29" s="140" t="str">
        <f>N29</f>
        <v>5.3.</v>
      </c>
      <c r="AB29" s="137" t="str">
        <f t="shared" si="22"/>
        <v>Выручка от реализации, в т.ч.:</v>
      </c>
      <c r="AC29" s="138" t="str">
        <f>P29</f>
        <v>тыс. руб.</v>
      </c>
      <c r="AD29" s="132">
        <f t="shared" ref="AD29" si="112">AD27*AD28</f>
        <v>10260</v>
      </c>
      <c r="AE29" s="132">
        <f t="shared" ref="AE29" si="113">AE27*AE28</f>
        <v>10260</v>
      </c>
      <c r="AF29" s="132">
        <f t="shared" ref="AF29" si="114">AF27*AF28</f>
        <v>10260</v>
      </c>
      <c r="AG29" s="132">
        <f t="shared" ref="AG29" si="115">AG27*AG28</f>
        <v>10260</v>
      </c>
      <c r="AH29" s="141">
        <f>AD29+AE29+AF29+AG29</f>
        <v>41040</v>
      </c>
      <c r="AI29" s="132">
        <f t="shared" ref="AI29" si="116">AI27*AI28</f>
        <v>10260</v>
      </c>
      <c r="AJ29" s="132">
        <f t="shared" ref="AJ29" si="117">AJ27*AJ28</f>
        <v>10260</v>
      </c>
      <c r="AK29" s="132">
        <f t="shared" ref="AK29" si="118">AK27*AK28</f>
        <v>10260</v>
      </c>
      <c r="AL29" s="132">
        <f t="shared" ref="AL29" si="119">AL27*AL28</f>
        <v>10260</v>
      </c>
      <c r="AM29" s="142">
        <f>AI29+AJ29+AK29+AL29</f>
        <v>41040</v>
      </c>
      <c r="AN29" s="140" t="str">
        <f>AA29</f>
        <v>5.3.</v>
      </c>
      <c r="AO29" s="137" t="str">
        <f t="shared" si="23"/>
        <v>Выручка от реализации, в т.ч.:</v>
      </c>
      <c r="AP29" s="138" t="str">
        <f>AC29</f>
        <v>тыс. руб.</v>
      </c>
      <c r="AQ29" s="132">
        <f t="shared" ref="AQ29" si="120">AQ27*AQ28</f>
        <v>10260</v>
      </c>
      <c r="AR29" s="132">
        <f t="shared" ref="AR29" si="121">AR27*AR28</f>
        <v>10260</v>
      </c>
      <c r="AS29" s="132">
        <f t="shared" ref="AS29" si="122">AS27*AS28</f>
        <v>10260</v>
      </c>
      <c r="AT29" s="132">
        <f t="shared" ref="AT29" si="123">AT27*AT28</f>
        <v>10260</v>
      </c>
      <c r="AU29" s="132">
        <f t="shared" ref="AU29" si="124">AU27*AU28</f>
        <v>41040</v>
      </c>
      <c r="AV29" s="132">
        <f t="shared" ref="AV29" si="125">AV27*AV28</f>
        <v>10260</v>
      </c>
      <c r="AW29" s="132">
        <f t="shared" ref="AW29" si="126">AW27*AW28</f>
        <v>10260</v>
      </c>
      <c r="AX29" s="132">
        <f t="shared" ref="AX29" si="127">AX27*AX28</f>
        <v>10260</v>
      </c>
      <c r="AY29" s="132">
        <f t="shared" ref="AY29" si="128">AY27*AY28</f>
        <v>10260</v>
      </c>
      <c r="AZ29" s="142">
        <f>AV29+AW29+AX29+AY29</f>
        <v>41040</v>
      </c>
    </row>
    <row r="30" spans="1:52" ht="12.6" customHeight="1">
      <c r="A30" s="143"/>
      <c r="B30" s="241" t="s">
        <v>110</v>
      </c>
      <c r="C30" s="242" t="s">
        <v>108</v>
      </c>
      <c r="D30" s="240">
        <f>D29/118*18</f>
        <v>0</v>
      </c>
      <c r="E30" s="240">
        <f>E29/118*18</f>
        <v>0</v>
      </c>
      <c r="F30" s="240">
        <f>F29/118*18</f>
        <v>0</v>
      </c>
      <c r="G30" s="240">
        <f>G29/118*18</f>
        <v>0</v>
      </c>
      <c r="H30" s="244">
        <f>D30+E30+F30+G30</f>
        <v>0</v>
      </c>
      <c r="I30" s="240">
        <f>I29/118*18</f>
        <v>1565.0847457627119</v>
      </c>
      <c r="J30" s="240">
        <f>J29/118*18</f>
        <v>1565.0847457627119</v>
      </c>
      <c r="K30" s="240">
        <f>K29/118*18</f>
        <v>1565.0847457627119</v>
      </c>
      <c r="L30" s="240">
        <f>L29/118*18</f>
        <v>1565.0847457627119</v>
      </c>
      <c r="M30" s="141">
        <f>I30+J30+K30+L30</f>
        <v>6260.3389830508477</v>
      </c>
      <c r="N30" s="143"/>
      <c r="O30" s="137" t="str">
        <f t="shared" si="21"/>
        <v xml:space="preserve">   НДС</v>
      </c>
      <c r="P30" s="138" t="str">
        <f>C30</f>
        <v>тыс. руб.</v>
      </c>
      <c r="Q30" s="132">
        <f>Q29/120*20</f>
        <v>1710</v>
      </c>
      <c r="R30" s="132">
        <f t="shared" ref="R30:Y30" si="129">R29/120*20</f>
        <v>1710</v>
      </c>
      <c r="S30" s="132">
        <f t="shared" si="129"/>
        <v>1710</v>
      </c>
      <c r="T30" s="132">
        <f t="shared" si="129"/>
        <v>1710</v>
      </c>
      <c r="U30" s="132">
        <f t="shared" si="129"/>
        <v>6840</v>
      </c>
      <c r="V30" s="132">
        <f t="shared" si="129"/>
        <v>1710</v>
      </c>
      <c r="W30" s="132">
        <f t="shared" si="129"/>
        <v>1710</v>
      </c>
      <c r="X30" s="132">
        <f t="shared" si="129"/>
        <v>1710</v>
      </c>
      <c r="Y30" s="132">
        <f t="shared" si="129"/>
        <v>1710</v>
      </c>
      <c r="Z30" s="132">
        <f>Z29/120*20</f>
        <v>6840</v>
      </c>
      <c r="AA30" s="143"/>
      <c r="AB30" s="137" t="str">
        <f t="shared" si="22"/>
        <v xml:space="preserve">   НДС</v>
      </c>
      <c r="AC30" s="138" t="str">
        <f>P30</f>
        <v>тыс. руб.</v>
      </c>
      <c r="AD30" s="132">
        <f t="shared" ref="AD30" si="130">AD29/120*20</f>
        <v>1710</v>
      </c>
      <c r="AE30" s="132">
        <f t="shared" ref="AE30" si="131">AE29/120*20</f>
        <v>1710</v>
      </c>
      <c r="AF30" s="132">
        <f t="shared" ref="AF30" si="132">AF29/120*20</f>
        <v>1710</v>
      </c>
      <c r="AG30" s="132">
        <f t="shared" ref="AG30" si="133">AG29/120*20</f>
        <v>1710</v>
      </c>
      <c r="AH30" s="141">
        <f>AD30+AE30+AF30+AG30</f>
        <v>6840</v>
      </c>
      <c r="AI30" s="132">
        <f t="shared" ref="AI30" si="134">AI29/120*20</f>
        <v>1710</v>
      </c>
      <c r="AJ30" s="132">
        <f t="shared" ref="AJ30" si="135">AJ29/120*20</f>
        <v>1710</v>
      </c>
      <c r="AK30" s="132">
        <f t="shared" ref="AK30" si="136">AK29/120*20</f>
        <v>1710</v>
      </c>
      <c r="AL30" s="132">
        <f t="shared" ref="AL30" si="137">AL29/120*20</f>
        <v>1710</v>
      </c>
      <c r="AM30" s="142">
        <f>AI30+AJ30+AK30+AL30</f>
        <v>6840</v>
      </c>
      <c r="AN30" s="143"/>
      <c r="AO30" s="137" t="str">
        <f t="shared" si="23"/>
        <v xml:space="preserve">   НДС</v>
      </c>
      <c r="AP30" s="138" t="str">
        <f>AC30</f>
        <v>тыс. руб.</v>
      </c>
      <c r="AQ30" s="132">
        <f t="shared" ref="AQ30" si="138">AQ29/120*20</f>
        <v>1710</v>
      </c>
      <c r="AR30" s="132">
        <f t="shared" ref="AR30" si="139">AR29/120*20</f>
        <v>1710</v>
      </c>
      <c r="AS30" s="132">
        <f t="shared" ref="AS30" si="140">AS29/120*20</f>
        <v>1710</v>
      </c>
      <c r="AT30" s="132">
        <f t="shared" ref="AT30" si="141">AT29/120*20</f>
        <v>1710</v>
      </c>
      <c r="AU30" s="132">
        <f t="shared" ref="AU30" si="142">AU29/120*20</f>
        <v>6840</v>
      </c>
      <c r="AV30" s="132">
        <f t="shared" ref="AV30" si="143">AV29/120*20</f>
        <v>1710</v>
      </c>
      <c r="AW30" s="132">
        <f t="shared" ref="AW30" si="144">AW29/120*20</f>
        <v>1710</v>
      </c>
      <c r="AX30" s="132">
        <f t="shared" ref="AX30" si="145">AX29/120*20</f>
        <v>1710</v>
      </c>
      <c r="AY30" s="132">
        <f t="shared" ref="AY30" si="146">AY29/120*20</f>
        <v>1710</v>
      </c>
      <c r="AZ30" s="142">
        <f>AV30+AW30+AX30+AY30</f>
        <v>6840</v>
      </c>
    </row>
    <row r="31" spans="1:52" ht="12.6" customHeight="1">
      <c r="A31" s="237">
        <v>6</v>
      </c>
      <c r="B31" s="238" t="s">
        <v>333</v>
      </c>
      <c r="C31" s="239"/>
      <c r="D31" s="240"/>
      <c r="E31" s="240"/>
      <c r="F31" s="240"/>
      <c r="G31" s="240"/>
      <c r="H31" s="240"/>
      <c r="I31" s="240"/>
      <c r="J31" s="240"/>
      <c r="K31" s="240"/>
      <c r="L31" s="240"/>
      <c r="M31" s="132"/>
      <c r="N31" s="134">
        <f>A31</f>
        <v>6</v>
      </c>
      <c r="O31" s="130" t="str">
        <f t="shared" si="21"/>
        <v>продажа 1м3 ПСБ-С-50</v>
      </c>
      <c r="P31" s="131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4">
        <f>N31</f>
        <v>6</v>
      </c>
      <c r="AB31" s="130" t="str">
        <f t="shared" si="22"/>
        <v>продажа 1м3 ПСБ-С-50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2"/>
      <c r="AM31" s="135"/>
      <c r="AN31" s="134">
        <f>AA31</f>
        <v>6</v>
      </c>
      <c r="AO31" s="130" t="str">
        <f t="shared" si="23"/>
        <v>продажа 1м3 ПСБ-С-50</v>
      </c>
      <c r="AP31" s="131"/>
      <c r="AQ31" s="132"/>
      <c r="AR31" s="132"/>
      <c r="AS31" s="132"/>
      <c r="AT31" s="132"/>
      <c r="AU31" s="132"/>
      <c r="AV31" s="132"/>
      <c r="AW31" s="132"/>
      <c r="AX31" s="132"/>
      <c r="AY31" s="132"/>
      <c r="AZ31" s="135"/>
    </row>
    <row r="32" spans="1:52" ht="12.6" customHeight="1">
      <c r="A32" s="136" t="s">
        <v>121</v>
      </c>
      <c r="B32" s="241" t="s">
        <v>106</v>
      </c>
      <c r="C32" s="242" t="str">
        <f>IF('Исходные данные'!B114="","",'Исходные данные'!B114)</f>
        <v/>
      </c>
      <c r="D32" s="243">
        <v>0</v>
      </c>
      <c r="E32" s="243">
        <f t="shared" ref="E32:G33" si="147">D32</f>
        <v>0</v>
      </c>
      <c r="F32" s="243">
        <f t="shared" si="147"/>
        <v>0</v>
      </c>
      <c r="G32" s="243">
        <f t="shared" si="147"/>
        <v>0</v>
      </c>
      <c r="H32" s="240">
        <f>D32+E32+F32+G32</f>
        <v>0</v>
      </c>
      <c r="I32" s="243">
        <v>3600</v>
      </c>
      <c r="J32" s="243">
        <f t="shared" ref="J32:L33" si="148">I32</f>
        <v>3600</v>
      </c>
      <c r="K32" s="243">
        <f t="shared" si="148"/>
        <v>3600</v>
      </c>
      <c r="L32" s="243">
        <f t="shared" si="148"/>
        <v>3600</v>
      </c>
      <c r="M32" s="132">
        <f>I32+J32+K32+L32</f>
        <v>14400</v>
      </c>
      <c r="N32" s="136" t="str">
        <f>A32</f>
        <v>6.1.</v>
      </c>
      <c r="O32" s="137" t="str">
        <f t="shared" si="21"/>
        <v>Объем производства</v>
      </c>
      <c r="P32" s="138" t="str">
        <f>C32</f>
        <v/>
      </c>
      <c r="Q32" s="139">
        <f>I32</f>
        <v>3600</v>
      </c>
      <c r="R32" s="139">
        <f t="shared" ref="R32:T33" si="149">Q32</f>
        <v>3600</v>
      </c>
      <c r="S32" s="139">
        <v>3600</v>
      </c>
      <c r="T32" s="139">
        <f t="shared" si="149"/>
        <v>3600</v>
      </c>
      <c r="U32" s="132">
        <f>Q32+R32+S32+T32</f>
        <v>14400</v>
      </c>
      <c r="V32" s="139">
        <f>T32</f>
        <v>3600</v>
      </c>
      <c r="W32" s="139">
        <f t="shared" ref="W32:Y32" si="150">V32</f>
        <v>3600</v>
      </c>
      <c r="X32" s="139">
        <f t="shared" si="150"/>
        <v>3600</v>
      </c>
      <c r="Y32" s="139">
        <f t="shared" si="150"/>
        <v>3600</v>
      </c>
      <c r="Z32" s="132">
        <f>V32+W32+X32+Y32</f>
        <v>14400</v>
      </c>
      <c r="AA32" s="136" t="str">
        <f>N32</f>
        <v>6.1.</v>
      </c>
      <c r="AB32" s="137" t="str">
        <f t="shared" si="22"/>
        <v>Объем производства</v>
      </c>
      <c r="AC32" s="138" t="str">
        <f>P32</f>
        <v/>
      </c>
      <c r="AD32" s="139">
        <f>3600</f>
        <v>3600</v>
      </c>
      <c r="AE32" s="139">
        <f>3600</f>
        <v>3600</v>
      </c>
      <c r="AF32" s="139">
        <f>3600</f>
        <v>3600</v>
      </c>
      <c r="AG32" s="139">
        <f>3600</f>
        <v>3600</v>
      </c>
      <c r="AH32" s="132">
        <f>AD32+AE32+AF32+AG32</f>
        <v>14400</v>
      </c>
      <c r="AI32" s="139">
        <f>AG32</f>
        <v>3600</v>
      </c>
      <c r="AJ32" s="139">
        <f t="shared" ref="AJ32:AL33" si="151">AI32</f>
        <v>3600</v>
      </c>
      <c r="AK32" s="139">
        <f t="shared" si="151"/>
        <v>3600</v>
      </c>
      <c r="AL32" s="139">
        <f t="shared" si="151"/>
        <v>3600</v>
      </c>
      <c r="AM32" s="135">
        <f>AI32+AJ32+AK32+AL32</f>
        <v>14400</v>
      </c>
      <c r="AN32" s="136" t="str">
        <f>AA32</f>
        <v>6.1.</v>
      </c>
      <c r="AO32" s="137" t="str">
        <f t="shared" si="23"/>
        <v>Объем производства</v>
      </c>
      <c r="AP32" s="138" t="str">
        <f>AC32</f>
        <v/>
      </c>
      <c r="AQ32" s="139">
        <f>AL32</f>
        <v>3600</v>
      </c>
      <c r="AR32" s="139">
        <f t="shared" ref="AR32:AT32" si="152">AQ32</f>
        <v>3600</v>
      </c>
      <c r="AS32" s="139">
        <f t="shared" si="152"/>
        <v>3600</v>
      </c>
      <c r="AT32" s="139">
        <f t="shared" si="152"/>
        <v>3600</v>
      </c>
      <c r="AU32" s="132">
        <f>AQ32+AR32+AS32+AT32</f>
        <v>14400</v>
      </c>
      <c r="AV32" s="139">
        <f>AT32</f>
        <v>3600</v>
      </c>
      <c r="AW32" s="139">
        <f t="shared" ref="AW32:AY33" si="153">AV32</f>
        <v>3600</v>
      </c>
      <c r="AX32" s="139">
        <f t="shared" si="153"/>
        <v>3600</v>
      </c>
      <c r="AY32" s="139">
        <f t="shared" si="153"/>
        <v>3600</v>
      </c>
      <c r="AZ32" s="135">
        <f>AV32+AW32+AX32+AY32</f>
        <v>14400</v>
      </c>
    </row>
    <row r="33" spans="1:52" ht="12.6" customHeight="1">
      <c r="A33" s="140" t="s">
        <v>122</v>
      </c>
      <c r="B33" s="241" t="s">
        <v>107</v>
      </c>
      <c r="C33" s="242" t="s">
        <v>108</v>
      </c>
      <c r="D33" s="240">
        <f>'Исходные данные'!C94</f>
        <v>0</v>
      </c>
      <c r="E33" s="240">
        <f t="shared" si="147"/>
        <v>0</v>
      </c>
      <c r="F33" s="240">
        <f t="shared" si="147"/>
        <v>0</v>
      </c>
      <c r="G33" s="240">
        <f t="shared" si="147"/>
        <v>0</v>
      </c>
      <c r="H33" s="240">
        <v>0</v>
      </c>
      <c r="I33" s="240">
        <f>'Исходные данные'!C86</f>
        <v>4.49</v>
      </c>
      <c r="J33" s="240">
        <f t="shared" si="148"/>
        <v>4.49</v>
      </c>
      <c r="K33" s="240">
        <f t="shared" si="148"/>
        <v>4.49</v>
      </c>
      <c r="L33" s="240">
        <f t="shared" si="148"/>
        <v>4.49</v>
      </c>
      <c r="M33" s="132">
        <f>L33</f>
        <v>4.49</v>
      </c>
      <c r="N33" s="140" t="str">
        <f>A33</f>
        <v>6.2.</v>
      </c>
      <c r="O33" s="137" t="str">
        <f t="shared" si="21"/>
        <v>Цена реализации</v>
      </c>
      <c r="P33" s="138" t="str">
        <f>C33</f>
        <v>тыс. руб.</v>
      </c>
      <c r="Q33" s="132">
        <f>M33</f>
        <v>4.49</v>
      </c>
      <c r="R33" s="132">
        <f t="shared" si="149"/>
        <v>4.49</v>
      </c>
      <c r="S33" s="132">
        <f t="shared" si="149"/>
        <v>4.49</v>
      </c>
      <c r="T33" s="132">
        <f t="shared" si="149"/>
        <v>4.49</v>
      </c>
      <c r="U33" s="132">
        <f>T33</f>
        <v>4.49</v>
      </c>
      <c r="V33" s="132">
        <f>Q33</f>
        <v>4.49</v>
      </c>
      <c r="W33" s="132">
        <f t="shared" ref="W33:Y33" si="154">R33</f>
        <v>4.49</v>
      </c>
      <c r="X33" s="132">
        <f t="shared" si="154"/>
        <v>4.49</v>
      </c>
      <c r="Y33" s="132">
        <f t="shared" si="154"/>
        <v>4.49</v>
      </c>
      <c r="Z33" s="132">
        <f>Y33</f>
        <v>4.49</v>
      </c>
      <c r="AA33" s="140" t="str">
        <f>N33</f>
        <v>6.2.</v>
      </c>
      <c r="AB33" s="137" t="str">
        <f t="shared" si="22"/>
        <v>Цена реализации</v>
      </c>
      <c r="AC33" s="138" t="str">
        <f>P33</f>
        <v>тыс. руб.</v>
      </c>
      <c r="AD33" s="132">
        <f>Z33</f>
        <v>4.49</v>
      </c>
      <c r="AE33" s="132">
        <f t="shared" ref="AE33:AG33" si="155">AD33</f>
        <v>4.49</v>
      </c>
      <c r="AF33" s="132">
        <f t="shared" si="155"/>
        <v>4.49</v>
      </c>
      <c r="AG33" s="132">
        <f t="shared" si="155"/>
        <v>4.49</v>
      </c>
      <c r="AH33" s="132">
        <f>AG33</f>
        <v>4.49</v>
      </c>
      <c r="AI33" s="132">
        <f>AG33</f>
        <v>4.49</v>
      </c>
      <c r="AJ33" s="132">
        <f t="shared" si="151"/>
        <v>4.49</v>
      </c>
      <c r="AK33" s="132">
        <f t="shared" si="151"/>
        <v>4.49</v>
      </c>
      <c r="AL33" s="132">
        <f t="shared" si="151"/>
        <v>4.49</v>
      </c>
      <c r="AM33" s="135">
        <f>AL33</f>
        <v>4.49</v>
      </c>
      <c r="AN33" s="140" t="str">
        <f>AA33</f>
        <v>6.2.</v>
      </c>
      <c r="AO33" s="137" t="str">
        <f t="shared" si="23"/>
        <v>Цена реализации</v>
      </c>
      <c r="AP33" s="138" t="str">
        <f>AC33</f>
        <v>тыс. руб.</v>
      </c>
      <c r="AQ33" s="132">
        <f>AI33</f>
        <v>4.49</v>
      </c>
      <c r="AR33" s="132">
        <f t="shared" ref="AR33:AT33" si="156">AJ33</f>
        <v>4.49</v>
      </c>
      <c r="AS33" s="132">
        <f t="shared" si="156"/>
        <v>4.49</v>
      </c>
      <c r="AT33" s="132">
        <f t="shared" si="156"/>
        <v>4.49</v>
      </c>
      <c r="AU33" s="132">
        <f>AT33</f>
        <v>4.49</v>
      </c>
      <c r="AV33" s="132">
        <f>AT33</f>
        <v>4.49</v>
      </c>
      <c r="AW33" s="132">
        <f t="shared" si="153"/>
        <v>4.49</v>
      </c>
      <c r="AX33" s="132">
        <f t="shared" si="153"/>
        <v>4.49</v>
      </c>
      <c r="AY33" s="132">
        <f t="shared" si="153"/>
        <v>4.49</v>
      </c>
      <c r="AZ33" s="135">
        <f>AY33</f>
        <v>4.49</v>
      </c>
    </row>
    <row r="34" spans="1:52" ht="12.6" customHeight="1">
      <c r="A34" s="140" t="s">
        <v>123</v>
      </c>
      <c r="B34" s="241" t="s">
        <v>109</v>
      </c>
      <c r="C34" s="242" t="s">
        <v>108</v>
      </c>
      <c r="D34" s="240">
        <f>D32*D33</f>
        <v>0</v>
      </c>
      <c r="E34" s="240">
        <f>E32*E33</f>
        <v>0</v>
      </c>
      <c r="F34" s="240">
        <f>F32*F33</f>
        <v>0</v>
      </c>
      <c r="G34" s="240">
        <f>G32*G33</f>
        <v>0</v>
      </c>
      <c r="H34" s="244">
        <f>D34+E34+F34+G34</f>
        <v>0</v>
      </c>
      <c r="I34" s="240">
        <f>I32*I33</f>
        <v>16164</v>
      </c>
      <c r="J34" s="240">
        <f>J32*J33</f>
        <v>16164</v>
      </c>
      <c r="K34" s="240">
        <f>K32*K33</f>
        <v>16164</v>
      </c>
      <c r="L34" s="240">
        <f>L32*L33</f>
        <v>16164</v>
      </c>
      <c r="M34" s="141">
        <f>I34+J34+K34+L34</f>
        <v>64656</v>
      </c>
      <c r="N34" s="140" t="str">
        <f>A34</f>
        <v>6.3.</v>
      </c>
      <c r="O34" s="137" t="str">
        <f t="shared" si="21"/>
        <v>Выручка от реализации, в т.ч.:</v>
      </c>
      <c r="P34" s="138" t="str">
        <f>C34</f>
        <v>тыс. руб.</v>
      </c>
      <c r="Q34" s="132">
        <f>Q32*Q33</f>
        <v>16164</v>
      </c>
      <c r="R34" s="132">
        <f>R32*R33</f>
        <v>16164</v>
      </c>
      <c r="S34" s="132">
        <f>S32*S33</f>
        <v>16164</v>
      </c>
      <c r="T34" s="132">
        <f>T32*T33</f>
        <v>16164</v>
      </c>
      <c r="U34" s="141">
        <f>Q34+R34+S34+T34</f>
        <v>64656</v>
      </c>
      <c r="V34" s="132">
        <f>V32*V33</f>
        <v>16164</v>
      </c>
      <c r="W34" s="132">
        <f>W32*W33</f>
        <v>16164</v>
      </c>
      <c r="X34" s="132">
        <f>X32*X33</f>
        <v>16164</v>
      </c>
      <c r="Y34" s="132">
        <f>Y32*Y33</f>
        <v>16164</v>
      </c>
      <c r="Z34" s="141">
        <f>V34+W34+X34+Y34</f>
        <v>64656</v>
      </c>
      <c r="AA34" s="140" t="str">
        <f>N34</f>
        <v>6.3.</v>
      </c>
      <c r="AB34" s="137" t="str">
        <f t="shared" si="22"/>
        <v>Выручка от реализации, в т.ч.:</v>
      </c>
      <c r="AC34" s="138" t="str">
        <f>P34</f>
        <v>тыс. руб.</v>
      </c>
      <c r="AD34" s="132">
        <f>AD32*AD33</f>
        <v>16164</v>
      </c>
      <c r="AE34" s="132">
        <f>AE32*AE33</f>
        <v>16164</v>
      </c>
      <c r="AF34" s="132">
        <f>AF32*AF33</f>
        <v>16164</v>
      </c>
      <c r="AG34" s="132">
        <f>AG32*AG33</f>
        <v>16164</v>
      </c>
      <c r="AH34" s="141">
        <f>AD34+AE34+AF34+AG34</f>
        <v>64656</v>
      </c>
      <c r="AI34" s="132">
        <f>AI32*AI33</f>
        <v>16164</v>
      </c>
      <c r="AJ34" s="132">
        <f>AJ32*AJ33</f>
        <v>16164</v>
      </c>
      <c r="AK34" s="132">
        <f>AK32*AK33</f>
        <v>16164</v>
      </c>
      <c r="AL34" s="132">
        <f>AL32*AL33</f>
        <v>16164</v>
      </c>
      <c r="AM34" s="142">
        <f>AI34+AJ34+AK34+AL34</f>
        <v>64656</v>
      </c>
      <c r="AN34" s="140" t="str">
        <f>AA34</f>
        <v>6.3.</v>
      </c>
      <c r="AO34" s="137" t="str">
        <f t="shared" si="23"/>
        <v>Выручка от реализации, в т.ч.:</v>
      </c>
      <c r="AP34" s="138" t="str">
        <f>AC34</f>
        <v>тыс. руб.</v>
      </c>
      <c r="AQ34" s="132">
        <f>AQ32*AQ33</f>
        <v>16164</v>
      </c>
      <c r="AR34" s="132">
        <f>AR32*AR33</f>
        <v>16164</v>
      </c>
      <c r="AS34" s="132">
        <f>AS32*AS33</f>
        <v>16164</v>
      </c>
      <c r="AT34" s="132">
        <f>AT32*AT33</f>
        <v>16164</v>
      </c>
      <c r="AU34" s="141">
        <f>AQ34+AR34+AS34+AT34</f>
        <v>64656</v>
      </c>
      <c r="AV34" s="132">
        <f>AV32*AV33</f>
        <v>16164</v>
      </c>
      <c r="AW34" s="132">
        <f>AW32*AW33</f>
        <v>16164</v>
      </c>
      <c r="AX34" s="132">
        <f>AX32*AX33</f>
        <v>16164</v>
      </c>
      <c r="AY34" s="132">
        <f>AY32*AY33</f>
        <v>16164</v>
      </c>
      <c r="AZ34" s="142">
        <f>AV34+AW34+AX34+AY34</f>
        <v>64656</v>
      </c>
    </row>
    <row r="35" spans="1:52" ht="12.6" customHeight="1">
      <c r="A35" s="143"/>
      <c r="B35" s="241" t="s">
        <v>110</v>
      </c>
      <c r="C35" s="242" t="s">
        <v>108</v>
      </c>
      <c r="D35" s="240">
        <f>D34/118*18</f>
        <v>0</v>
      </c>
      <c r="E35" s="240">
        <f>E34/118*18</f>
        <v>0</v>
      </c>
      <c r="F35" s="240">
        <f>F34/118*18</f>
        <v>0</v>
      </c>
      <c r="G35" s="240">
        <f>G34/118*18</f>
        <v>0</v>
      </c>
      <c r="H35" s="244">
        <f>D35+E35+F35+G35</f>
        <v>0</v>
      </c>
      <c r="I35" s="240">
        <f>I34/120*20</f>
        <v>2694</v>
      </c>
      <c r="J35" s="240">
        <f>J34/120*20</f>
        <v>2694</v>
      </c>
      <c r="K35" s="240">
        <f>K34/120*20</f>
        <v>2694</v>
      </c>
      <c r="L35" s="240">
        <f>L34/120*20</f>
        <v>2694</v>
      </c>
      <c r="M35" s="141">
        <f>I35+J35+K35+L35</f>
        <v>10776</v>
      </c>
      <c r="N35" s="143"/>
      <c r="O35" s="137" t="str">
        <f t="shared" si="21"/>
        <v xml:space="preserve">   НДС</v>
      </c>
      <c r="P35" s="138" t="str">
        <f>C35</f>
        <v>тыс. руб.</v>
      </c>
      <c r="Q35" s="132">
        <f>Q34/120*20</f>
        <v>2694</v>
      </c>
      <c r="R35" s="132">
        <f>R34/120*20</f>
        <v>2694</v>
      </c>
      <c r="S35" s="132">
        <f>S34/120*20</f>
        <v>2694</v>
      </c>
      <c r="T35" s="132">
        <f>T34/120*20</f>
        <v>2694</v>
      </c>
      <c r="U35" s="141">
        <f>Q35+R35+S35+T35</f>
        <v>10776</v>
      </c>
      <c r="V35" s="132">
        <f>V34/120*20</f>
        <v>2694</v>
      </c>
      <c r="W35" s="132">
        <f>W34/120*20</f>
        <v>2694</v>
      </c>
      <c r="X35" s="132">
        <f>X34/120*20</f>
        <v>2694</v>
      </c>
      <c r="Y35" s="132">
        <f>Y34/120*20</f>
        <v>2694</v>
      </c>
      <c r="Z35" s="141">
        <f>V35+W35+X35+Y35</f>
        <v>10776</v>
      </c>
      <c r="AA35" s="143"/>
      <c r="AB35" s="137" t="str">
        <f t="shared" si="22"/>
        <v xml:space="preserve">   НДС</v>
      </c>
      <c r="AC35" s="138" t="str">
        <f>P35</f>
        <v>тыс. руб.</v>
      </c>
      <c r="AD35" s="132">
        <f>AD34/120*20</f>
        <v>2694</v>
      </c>
      <c r="AE35" s="132">
        <f>AE34/120*20</f>
        <v>2694</v>
      </c>
      <c r="AF35" s="132">
        <f>AF34/120*20</f>
        <v>2694</v>
      </c>
      <c r="AG35" s="132">
        <f>AG34/120*20</f>
        <v>2694</v>
      </c>
      <c r="AH35" s="141">
        <f>AD35+AE35+AF35+AG35</f>
        <v>10776</v>
      </c>
      <c r="AI35" s="132">
        <f>AI34/120*20</f>
        <v>2694</v>
      </c>
      <c r="AJ35" s="132">
        <f>AJ34/120*20</f>
        <v>2694</v>
      </c>
      <c r="AK35" s="132">
        <f>AK34/120*20</f>
        <v>2694</v>
      </c>
      <c r="AL35" s="132">
        <f>AL34/120*20</f>
        <v>2694</v>
      </c>
      <c r="AM35" s="142">
        <f>AI35+AJ35+AK35+AL35</f>
        <v>10776</v>
      </c>
      <c r="AN35" s="143"/>
      <c r="AO35" s="137" t="str">
        <f t="shared" si="23"/>
        <v xml:space="preserve">   НДС</v>
      </c>
      <c r="AP35" s="138" t="str">
        <f>AC35</f>
        <v>тыс. руб.</v>
      </c>
      <c r="AQ35" s="132">
        <f>AQ34/120*20</f>
        <v>2694</v>
      </c>
      <c r="AR35" s="132">
        <f>AR34/120*20</f>
        <v>2694</v>
      </c>
      <c r="AS35" s="132">
        <f>AS34/120*20</f>
        <v>2694</v>
      </c>
      <c r="AT35" s="132">
        <f>AT34/120*20</f>
        <v>2694</v>
      </c>
      <c r="AU35" s="141">
        <f>AQ35+AR35+AS35+AT35</f>
        <v>10776</v>
      </c>
      <c r="AV35" s="132">
        <f>AV34/120*20</f>
        <v>2694</v>
      </c>
      <c r="AW35" s="132">
        <f>AW34/120*20</f>
        <v>2694</v>
      </c>
      <c r="AX35" s="132">
        <f>AX34/120*20</f>
        <v>2694</v>
      </c>
      <c r="AY35" s="132">
        <f>AY34/120*20</f>
        <v>2694</v>
      </c>
      <c r="AZ35" s="142">
        <f>AV35+AW35+AX35+AY35</f>
        <v>10776</v>
      </c>
    </row>
    <row r="36" spans="1:52" ht="12.6" customHeight="1">
      <c r="A36" s="144">
        <f>IF(B36="Продукция (услуга, работа)",A31,A31+1)</f>
        <v>6</v>
      </c>
      <c r="B36" s="238" t="str">
        <f>'Исходные данные'!A95</f>
        <v>Продукция (услуга, работа)</v>
      </c>
      <c r="C36" s="239"/>
      <c r="D36" s="240"/>
      <c r="E36" s="240"/>
      <c r="F36" s="240"/>
      <c r="G36" s="240"/>
      <c r="H36" s="240"/>
      <c r="I36" s="240"/>
      <c r="J36" s="240"/>
      <c r="K36" s="240"/>
      <c r="L36" s="240"/>
      <c r="M36" s="132"/>
      <c r="N36" s="134">
        <f>A36</f>
        <v>6</v>
      </c>
      <c r="O36" s="130" t="str">
        <f t="shared" si="21"/>
        <v>Продукция (услуга, работа)</v>
      </c>
      <c r="P36" s="131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4">
        <f>N36</f>
        <v>6</v>
      </c>
      <c r="AB36" s="130" t="str">
        <f t="shared" si="22"/>
        <v>Продукция (услуга, работа)</v>
      </c>
      <c r="AC36" s="131"/>
      <c r="AD36" s="132"/>
      <c r="AE36" s="132"/>
      <c r="AF36" s="132"/>
      <c r="AG36" s="132"/>
      <c r="AH36" s="132"/>
      <c r="AI36" s="132"/>
      <c r="AJ36" s="132"/>
      <c r="AK36" s="132"/>
      <c r="AL36" s="132"/>
      <c r="AM36" s="135"/>
      <c r="AN36" s="134">
        <f>AA36</f>
        <v>6</v>
      </c>
      <c r="AO36" s="130" t="str">
        <f t="shared" si="23"/>
        <v>Продукция (услуга, работа)</v>
      </c>
      <c r="AP36" s="131"/>
      <c r="AQ36" s="132"/>
      <c r="AR36" s="132"/>
      <c r="AS36" s="132"/>
      <c r="AT36" s="132"/>
      <c r="AU36" s="132"/>
      <c r="AV36" s="132"/>
      <c r="AW36" s="132"/>
      <c r="AX36" s="132"/>
      <c r="AY36" s="132"/>
      <c r="AZ36" s="135"/>
    </row>
    <row r="37" spans="1:52" ht="12.6" customHeight="1">
      <c r="A37" s="136" t="s">
        <v>124</v>
      </c>
      <c r="B37" s="137" t="s">
        <v>106</v>
      </c>
      <c r="C37" s="138" t="str">
        <f>IF('Исходные данные'!B119="","",'Исходные данные'!B119)</f>
        <v/>
      </c>
      <c r="D37" s="139">
        <v>0</v>
      </c>
      <c r="E37" s="139">
        <f t="shared" ref="E37:G38" si="157">D37</f>
        <v>0</v>
      </c>
      <c r="F37" s="139">
        <f t="shared" si="157"/>
        <v>0</v>
      </c>
      <c r="G37" s="139">
        <f t="shared" si="157"/>
        <v>0</v>
      </c>
      <c r="H37" s="132">
        <f>D37+E37+F37+G37</f>
        <v>0</v>
      </c>
      <c r="I37" s="139">
        <f>G37</f>
        <v>0</v>
      </c>
      <c r="J37" s="139">
        <f t="shared" ref="J37:L38" si="158">I37</f>
        <v>0</v>
      </c>
      <c r="K37" s="139">
        <f t="shared" si="158"/>
        <v>0</v>
      </c>
      <c r="L37" s="139">
        <f t="shared" si="158"/>
        <v>0</v>
      </c>
      <c r="M37" s="132">
        <f>I37+J37+K37+L37</f>
        <v>0</v>
      </c>
      <c r="N37" s="136" t="str">
        <f>A37</f>
        <v>7.1.</v>
      </c>
      <c r="O37" s="137" t="str">
        <f t="shared" si="21"/>
        <v>Объем производства</v>
      </c>
      <c r="P37" s="138" t="str">
        <f>C37</f>
        <v/>
      </c>
      <c r="Q37" s="139">
        <v>0</v>
      </c>
      <c r="R37" s="139">
        <f t="shared" ref="R37:T38" si="159">Q37</f>
        <v>0</v>
      </c>
      <c r="S37" s="139">
        <f t="shared" si="159"/>
        <v>0</v>
      </c>
      <c r="T37" s="139">
        <f t="shared" si="159"/>
        <v>0</v>
      </c>
      <c r="U37" s="132">
        <f>Q37+R37+S37+T37</f>
        <v>0</v>
      </c>
      <c r="V37" s="139">
        <f>T37</f>
        <v>0</v>
      </c>
      <c r="W37" s="139">
        <f t="shared" ref="W37:Y38" si="160">V37</f>
        <v>0</v>
      </c>
      <c r="X37" s="139">
        <f t="shared" si="160"/>
        <v>0</v>
      </c>
      <c r="Y37" s="139">
        <f t="shared" si="160"/>
        <v>0</v>
      </c>
      <c r="Z37" s="132">
        <f>V37+W37+X37+Y37</f>
        <v>0</v>
      </c>
      <c r="AA37" s="136" t="str">
        <f>N37</f>
        <v>7.1.</v>
      </c>
      <c r="AB37" s="137" t="str">
        <f t="shared" si="22"/>
        <v>Объем производства</v>
      </c>
      <c r="AC37" s="138" t="str">
        <f>P37</f>
        <v/>
      </c>
      <c r="AD37" s="139">
        <v>0</v>
      </c>
      <c r="AE37" s="139">
        <f t="shared" ref="AE37:AG38" si="161">AD37</f>
        <v>0</v>
      </c>
      <c r="AF37" s="139">
        <f t="shared" si="161"/>
        <v>0</v>
      </c>
      <c r="AG37" s="139">
        <f t="shared" si="161"/>
        <v>0</v>
      </c>
      <c r="AH37" s="132">
        <f>AD37+AE37+AF37+AG37</f>
        <v>0</v>
      </c>
      <c r="AI37" s="139">
        <f>AG37</f>
        <v>0</v>
      </c>
      <c r="AJ37" s="139">
        <f t="shared" ref="AJ37:AL38" si="162">AI37</f>
        <v>0</v>
      </c>
      <c r="AK37" s="139">
        <f t="shared" si="162"/>
        <v>0</v>
      </c>
      <c r="AL37" s="139">
        <f t="shared" si="162"/>
        <v>0</v>
      </c>
      <c r="AM37" s="135">
        <f>AI37+AJ37+AK37+AL37</f>
        <v>0</v>
      </c>
      <c r="AN37" s="136" t="str">
        <f>AA37</f>
        <v>7.1.</v>
      </c>
      <c r="AO37" s="137" t="str">
        <f t="shared" si="23"/>
        <v>Объем производства</v>
      </c>
      <c r="AP37" s="138" t="str">
        <f>AC37</f>
        <v/>
      </c>
      <c r="AQ37" s="139">
        <f>AL37</f>
        <v>0</v>
      </c>
      <c r="AR37" s="139">
        <f t="shared" ref="AR37:AT38" si="163">AQ37</f>
        <v>0</v>
      </c>
      <c r="AS37" s="139">
        <f t="shared" si="163"/>
        <v>0</v>
      </c>
      <c r="AT37" s="139">
        <f t="shared" si="163"/>
        <v>0</v>
      </c>
      <c r="AU37" s="132">
        <f>AQ37+AR37+AS37+AT37</f>
        <v>0</v>
      </c>
      <c r="AV37" s="139">
        <f>AT37</f>
        <v>0</v>
      </c>
      <c r="AW37" s="139">
        <f t="shared" ref="AW37:AY38" si="164">AV37</f>
        <v>0</v>
      </c>
      <c r="AX37" s="139">
        <f t="shared" si="164"/>
        <v>0</v>
      </c>
      <c r="AY37" s="139">
        <f t="shared" si="164"/>
        <v>0</v>
      </c>
      <c r="AZ37" s="135">
        <f>AV37+AW37+AX37+AY37</f>
        <v>0</v>
      </c>
    </row>
    <row r="38" spans="1:52" ht="12.6" customHeight="1">
      <c r="A38" s="140" t="s">
        <v>125</v>
      </c>
      <c r="B38" s="137" t="s">
        <v>107</v>
      </c>
      <c r="C38" s="138" t="s">
        <v>108</v>
      </c>
      <c r="D38" s="132">
        <f>'Исходные данные'!C95</f>
        <v>0</v>
      </c>
      <c r="E38" s="132">
        <f t="shared" si="157"/>
        <v>0</v>
      </c>
      <c r="F38" s="132">
        <f t="shared" si="157"/>
        <v>0</v>
      </c>
      <c r="G38" s="132">
        <f t="shared" si="157"/>
        <v>0</v>
      </c>
      <c r="H38" s="132">
        <v>0</v>
      </c>
      <c r="I38" s="132">
        <f>G38</f>
        <v>0</v>
      </c>
      <c r="J38" s="132">
        <f t="shared" si="158"/>
        <v>0</v>
      </c>
      <c r="K38" s="132">
        <f t="shared" si="158"/>
        <v>0</v>
      </c>
      <c r="L38" s="132">
        <f t="shared" si="158"/>
        <v>0</v>
      </c>
      <c r="M38" s="132">
        <f>L38</f>
        <v>0</v>
      </c>
      <c r="N38" s="140" t="str">
        <f>A38</f>
        <v>7.2.</v>
      </c>
      <c r="O38" s="137" t="str">
        <f t="shared" si="21"/>
        <v>Цена реализации</v>
      </c>
      <c r="P38" s="138" t="str">
        <f>C38</f>
        <v>тыс. руб.</v>
      </c>
      <c r="Q38" s="132">
        <f>M38</f>
        <v>0</v>
      </c>
      <c r="R38" s="132">
        <f t="shared" si="159"/>
        <v>0</v>
      </c>
      <c r="S38" s="132">
        <f t="shared" si="159"/>
        <v>0</v>
      </c>
      <c r="T38" s="132">
        <f t="shared" si="159"/>
        <v>0</v>
      </c>
      <c r="U38" s="132">
        <f>T38</f>
        <v>0</v>
      </c>
      <c r="V38" s="132">
        <f>T38</f>
        <v>0</v>
      </c>
      <c r="W38" s="132">
        <f t="shared" si="160"/>
        <v>0</v>
      </c>
      <c r="X38" s="132">
        <f t="shared" si="160"/>
        <v>0</v>
      </c>
      <c r="Y38" s="132">
        <f t="shared" si="160"/>
        <v>0</v>
      </c>
      <c r="Z38" s="132">
        <f>Y38</f>
        <v>0</v>
      </c>
      <c r="AA38" s="140" t="str">
        <f>N38</f>
        <v>7.2.</v>
      </c>
      <c r="AB38" s="137" t="str">
        <f t="shared" si="22"/>
        <v>Цена реализации</v>
      </c>
      <c r="AC38" s="138" t="str">
        <f>P38</f>
        <v>тыс. руб.</v>
      </c>
      <c r="AD38" s="132">
        <f>Z38</f>
        <v>0</v>
      </c>
      <c r="AE38" s="132">
        <f t="shared" si="161"/>
        <v>0</v>
      </c>
      <c r="AF38" s="132">
        <f t="shared" si="161"/>
        <v>0</v>
      </c>
      <c r="AG38" s="132">
        <f t="shared" si="161"/>
        <v>0</v>
      </c>
      <c r="AH38" s="132">
        <f>AG38</f>
        <v>0</v>
      </c>
      <c r="AI38" s="132">
        <f>AG38</f>
        <v>0</v>
      </c>
      <c r="AJ38" s="132">
        <f t="shared" si="162"/>
        <v>0</v>
      </c>
      <c r="AK38" s="132">
        <f t="shared" si="162"/>
        <v>0</v>
      </c>
      <c r="AL38" s="132">
        <f t="shared" si="162"/>
        <v>0</v>
      </c>
      <c r="AM38" s="135">
        <f>AL38</f>
        <v>0</v>
      </c>
      <c r="AN38" s="140" t="str">
        <f>AA38</f>
        <v>7.2.</v>
      </c>
      <c r="AO38" s="137" t="str">
        <f t="shared" si="23"/>
        <v>Цена реализации</v>
      </c>
      <c r="AP38" s="138" t="str">
        <f>AC38</f>
        <v>тыс. руб.</v>
      </c>
      <c r="AQ38" s="132">
        <f>AM38</f>
        <v>0</v>
      </c>
      <c r="AR38" s="132">
        <f t="shared" si="163"/>
        <v>0</v>
      </c>
      <c r="AS38" s="132">
        <f t="shared" si="163"/>
        <v>0</v>
      </c>
      <c r="AT38" s="132">
        <f t="shared" si="163"/>
        <v>0</v>
      </c>
      <c r="AU38" s="132">
        <f>AT38</f>
        <v>0</v>
      </c>
      <c r="AV38" s="132">
        <f>AT38</f>
        <v>0</v>
      </c>
      <c r="AW38" s="132">
        <f t="shared" si="164"/>
        <v>0</v>
      </c>
      <c r="AX38" s="132">
        <f t="shared" si="164"/>
        <v>0</v>
      </c>
      <c r="AY38" s="132">
        <f t="shared" si="164"/>
        <v>0</v>
      </c>
      <c r="AZ38" s="135">
        <f>AY38</f>
        <v>0</v>
      </c>
    </row>
    <row r="39" spans="1:52" ht="12.6" customHeight="1">
      <c r="A39" s="140" t="s">
        <v>126</v>
      </c>
      <c r="B39" s="137" t="s">
        <v>109</v>
      </c>
      <c r="C39" s="138" t="s">
        <v>108</v>
      </c>
      <c r="D39" s="132">
        <f>D37*D38</f>
        <v>0</v>
      </c>
      <c r="E39" s="132">
        <f>E37*E38</f>
        <v>0</v>
      </c>
      <c r="F39" s="132">
        <f>F37*F38</f>
        <v>0</v>
      </c>
      <c r="G39" s="132">
        <f>G37*G38</f>
        <v>0</v>
      </c>
      <c r="H39" s="141">
        <f>D39+E39+F39+G39</f>
        <v>0</v>
      </c>
      <c r="I39" s="132">
        <f>I37*I38</f>
        <v>0</v>
      </c>
      <c r="J39" s="132">
        <f>J37*J38</f>
        <v>0</v>
      </c>
      <c r="K39" s="132">
        <f>K37*K38</f>
        <v>0</v>
      </c>
      <c r="L39" s="132">
        <f>L37*L38</f>
        <v>0</v>
      </c>
      <c r="M39" s="141">
        <f>I39+J39+K39+L39</f>
        <v>0</v>
      </c>
      <c r="N39" s="140" t="str">
        <f>A39</f>
        <v>7.3.</v>
      </c>
      <c r="O39" s="137" t="str">
        <f t="shared" si="21"/>
        <v>Выручка от реализации, в т.ч.:</v>
      </c>
      <c r="P39" s="138" t="str">
        <f>C39</f>
        <v>тыс. руб.</v>
      </c>
      <c r="Q39" s="132">
        <f>Q37*Q38</f>
        <v>0</v>
      </c>
      <c r="R39" s="132">
        <f>R37*R38</f>
        <v>0</v>
      </c>
      <c r="S39" s="132">
        <f>S37*S38</f>
        <v>0</v>
      </c>
      <c r="T39" s="132">
        <f>T37*T38</f>
        <v>0</v>
      </c>
      <c r="U39" s="141">
        <f>Q39+R39+S39+T39</f>
        <v>0</v>
      </c>
      <c r="V39" s="132">
        <f>V37*V38</f>
        <v>0</v>
      </c>
      <c r="W39" s="132">
        <f>W37*W38</f>
        <v>0</v>
      </c>
      <c r="X39" s="132">
        <f>X37*X38</f>
        <v>0</v>
      </c>
      <c r="Y39" s="132">
        <f>Y37*Y38</f>
        <v>0</v>
      </c>
      <c r="Z39" s="141">
        <f>V39+W39+X39+Y39</f>
        <v>0</v>
      </c>
      <c r="AA39" s="140" t="str">
        <f>N39</f>
        <v>7.3.</v>
      </c>
      <c r="AB39" s="137" t="str">
        <f t="shared" si="22"/>
        <v>Выручка от реализации, в т.ч.:</v>
      </c>
      <c r="AC39" s="138" t="str">
        <f>P39</f>
        <v>тыс. руб.</v>
      </c>
      <c r="AD39" s="132">
        <f>AD37*AD38</f>
        <v>0</v>
      </c>
      <c r="AE39" s="132">
        <f>AE37*AE38</f>
        <v>0</v>
      </c>
      <c r="AF39" s="132">
        <f>AF37*AF38</f>
        <v>0</v>
      </c>
      <c r="AG39" s="132">
        <f>AG37*AG38</f>
        <v>0</v>
      </c>
      <c r="AH39" s="141">
        <f>AD39+AE39+AF39+AG39</f>
        <v>0</v>
      </c>
      <c r="AI39" s="132">
        <f>AI37*AI38</f>
        <v>0</v>
      </c>
      <c r="AJ39" s="132">
        <f>AJ37*AJ38</f>
        <v>0</v>
      </c>
      <c r="AK39" s="132">
        <f>AK37*AK38</f>
        <v>0</v>
      </c>
      <c r="AL39" s="132">
        <f>AL37*AL38</f>
        <v>0</v>
      </c>
      <c r="AM39" s="142">
        <f>AI39+AJ39+AK39+AL39</f>
        <v>0</v>
      </c>
      <c r="AN39" s="140" t="str">
        <f>AA39</f>
        <v>7.3.</v>
      </c>
      <c r="AO39" s="137" t="str">
        <f t="shared" si="23"/>
        <v>Выручка от реализации, в т.ч.:</v>
      </c>
      <c r="AP39" s="138" t="str">
        <f>AC39</f>
        <v>тыс. руб.</v>
      </c>
      <c r="AQ39" s="132">
        <f>AQ37*AQ38</f>
        <v>0</v>
      </c>
      <c r="AR39" s="132">
        <f>AR37*AR38</f>
        <v>0</v>
      </c>
      <c r="AS39" s="132">
        <f>AS37*AS38</f>
        <v>0</v>
      </c>
      <c r="AT39" s="132">
        <f>AT37*AT38</f>
        <v>0</v>
      </c>
      <c r="AU39" s="141">
        <f>AQ39+AR39+AS39+AT39</f>
        <v>0</v>
      </c>
      <c r="AV39" s="132">
        <f>AV37*AV38</f>
        <v>0</v>
      </c>
      <c r="AW39" s="132">
        <f>AW37*AW38</f>
        <v>0</v>
      </c>
      <c r="AX39" s="132">
        <f>AX37*AX38</f>
        <v>0</v>
      </c>
      <c r="AY39" s="132">
        <f>AY37*AY38</f>
        <v>0</v>
      </c>
      <c r="AZ39" s="142">
        <f>AV39+AW39+AX39+AY39</f>
        <v>0</v>
      </c>
    </row>
    <row r="40" spans="1:52" ht="12.6" customHeight="1">
      <c r="A40" s="143"/>
      <c r="B40" s="137" t="s">
        <v>110</v>
      </c>
      <c r="C40" s="138" t="s">
        <v>108</v>
      </c>
      <c r="D40" s="132">
        <f>D39/118*18</f>
        <v>0</v>
      </c>
      <c r="E40" s="132">
        <f>E39/118*18</f>
        <v>0</v>
      </c>
      <c r="F40" s="132">
        <f>F39/118*18</f>
        <v>0</v>
      </c>
      <c r="G40" s="132">
        <f>G39/118*18</f>
        <v>0</v>
      </c>
      <c r="H40" s="141">
        <f>D40+E40+F40+G40</f>
        <v>0</v>
      </c>
      <c r="I40" s="132">
        <f>I39/118*18</f>
        <v>0</v>
      </c>
      <c r="J40" s="132">
        <f>J39/118*18</f>
        <v>0</v>
      </c>
      <c r="K40" s="132">
        <f>K39/118*18</f>
        <v>0</v>
      </c>
      <c r="L40" s="132">
        <f>L39/118*18</f>
        <v>0</v>
      </c>
      <c r="M40" s="141">
        <f>I40+J40+K40+L40</f>
        <v>0</v>
      </c>
      <c r="N40" s="143"/>
      <c r="O40" s="137" t="str">
        <f t="shared" si="21"/>
        <v xml:space="preserve">   НДС</v>
      </c>
      <c r="P40" s="138" t="str">
        <f>C40</f>
        <v>тыс. руб.</v>
      </c>
      <c r="Q40" s="132">
        <f>Q39/118*18</f>
        <v>0</v>
      </c>
      <c r="R40" s="132">
        <f>R39/118*18</f>
        <v>0</v>
      </c>
      <c r="S40" s="132">
        <f>S39/118*18</f>
        <v>0</v>
      </c>
      <c r="T40" s="132">
        <f>T39/118*18</f>
        <v>0</v>
      </c>
      <c r="U40" s="141">
        <f>Q40+R40+S40+T40</f>
        <v>0</v>
      </c>
      <c r="V40" s="132">
        <f>V39/118*18</f>
        <v>0</v>
      </c>
      <c r="W40" s="132">
        <f>W39/118*18</f>
        <v>0</v>
      </c>
      <c r="X40" s="132">
        <f>X39/118*18</f>
        <v>0</v>
      </c>
      <c r="Y40" s="132">
        <f>Y39/118*18</f>
        <v>0</v>
      </c>
      <c r="Z40" s="141">
        <f>V40+W40+X40+Y40</f>
        <v>0</v>
      </c>
      <c r="AA40" s="143"/>
      <c r="AB40" s="137" t="str">
        <f t="shared" si="22"/>
        <v xml:space="preserve">   НДС</v>
      </c>
      <c r="AC40" s="138" t="str">
        <f>P40</f>
        <v>тыс. руб.</v>
      </c>
      <c r="AD40" s="132">
        <f>AD39/118*18</f>
        <v>0</v>
      </c>
      <c r="AE40" s="132">
        <f>AE39/118*18</f>
        <v>0</v>
      </c>
      <c r="AF40" s="132">
        <f>AF39/118*18</f>
        <v>0</v>
      </c>
      <c r="AG40" s="132">
        <f>AG39/118*18</f>
        <v>0</v>
      </c>
      <c r="AH40" s="141">
        <f>AD40+AE40+AF40+AG40</f>
        <v>0</v>
      </c>
      <c r="AI40" s="132">
        <f>AI39/118*18</f>
        <v>0</v>
      </c>
      <c r="AJ40" s="132">
        <f>AJ39/118*18</f>
        <v>0</v>
      </c>
      <c r="AK40" s="132">
        <f>AK39/118*18</f>
        <v>0</v>
      </c>
      <c r="AL40" s="132">
        <f>AL39/118*18</f>
        <v>0</v>
      </c>
      <c r="AM40" s="142">
        <f>AI40+AJ40+AK40+AL40</f>
        <v>0</v>
      </c>
      <c r="AN40" s="143"/>
      <c r="AO40" s="137" t="str">
        <f t="shared" si="23"/>
        <v xml:space="preserve">   НДС</v>
      </c>
      <c r="AP40" s="138" t="str">
        <f>AC40</f>
        <v>тыс. руб.</v>
      </c>
      <c r="AQ40" s="132">
        <f>AQ39/118*18</f>
        <v>0</v>
      </c>
      <c r="AR40" s="132">
        <f>AR39/118*18</f>
        <v>0</v>
      </c>
      <c r="AS40" s="132">
        <f>AS39/118*18</f>
        <v>0</v>
      </c>
      <c r="AT40" s="132">
        <f>AT39/118*18</f>
        <v>0</v>
      </c>
      <c r="AU40" s="141">
        <f>AQ40+AR40+AS40+AT40</f>
        <v>0</v>
      </c>
      <c r="AV40" s="132">
        <f>AV39/118*18</f>
        <v>0</v>
      </c>
      <c r="AW40" s="132">
        <f>AW39/118*18</f>
        <v>0</v>
      </c>
      <c r="AX40" s="132">
        <f>AX39/118*18</f>
        <v>0</v>
      </c>
      <c r="AY40" s="132">
        <f>AY39/118*18</f>
        <v>0</v>
      </c>
      <c r="AZ40" s="142">
        <f>AV40+AW40+AX40+AY40</f>
        <v>0</v>
      </c>
    </row>
    <row r="41" spans="1:52" ht="12.6" customHeight="1">
      <c r="A41" s="144">
        <f>IF(B41="Продукция (услуга, работа)",A36,A36+1)</f>
        <v>6</v>
      </c>
      <c r="B41" s="130" t="str">
        <f>'Исходные данные'!A96</f>
        <v>Продукция (услуга, работа)</v>
      </c>
      <c r="C41" s="131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4">
        <f>A41</f>
        <v>6</v>
      </c>
      <c r="O41" s="130" t="str">
        <f t="shared" si="21"/>
        <v>Продукция (услуга, работа)</v>
      </c>
      <c r="P41" s="131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4">
        <f>N41</f>
        <v>6</v>
      </c>
      <c r="AB41" s="130" t="str">
        <f t="shared" si="22"/>
        <v>Продукция (услуга, работа)</v>
      </c>
      <c r="AC41" s="131"/>
      <c r="AD41" s="132"/>
      <c r="AE41" s="132"/>
      <c r="AF41" s="132"/>
      <c r="AG41" s="132"/>
      <c r="AH41" s="132"/>
      <c r="AI41" s="132"/>
      <c r="AJ41" s="132"/>
      <c r="AK41" s="132"/>
      <c r="AL41" s="132"/>
      <c r="AM41" s="135"/>
      <c r="AN41" s="134">
        <f>AA41</f>
        <v>6</v>
      </c>
      <c r="AO41" s="130" t="str">
        <f t="shared" si="23"/>
        <v>Продукция (услуга, работа)</v>
      </c>
      <c r="AP41" s="131"/>
      <c r="AQ41" s="132"/>
      <c r="AR41" s="132"/>
      <c r="AS41" s="132"/>
      <c r="AT41" s="132"/>
      <c r="AU41" s="132"/>
      <c r="AV41" s="132"/>
      <c r="AW41" s="132"/>
      <c r="AX41" s="132"/>
      <c r="AY41" s="132"/>
      <c r="AZ41" s="135"/>
    </row>
    <row r="42" spans="1:52" ht="12.6" customHeight="1">
      <c r="A42" s="136" t="s">
        <v>127</v>
      </c>
      <c r="B42" s="137" t="s">
        <v>106</v>
      </c>
      <c r="C42" s="138" t="str">
        <f>IF('Исходные данные'!B124="","",'Исходные данные'!B124)</f>
        <v/>
      </c>
      <c r="D42" s="139">
        <v>0</v>
      </c>
      <c r="E42" s="139">
        <f t="shared" ref="E42:G43" si="165">D42</f>
        <v>0</v>
      </c>
      <c r="F42" s="139">
        <f t="shared" si="165"/>
        <v>0</v>
      </c>
      <c r="G42" s="139">
        <f t="shared" si="165"/>
        <v>0</v>
      </c>
      <c r="H42" s="132">
        <f>D42+E42+F42+G42</f>
        <v>0</v>
      </c>
      <c r="I42" s="139">
        <f>G42</f>
        <v>0</v>
      </c>
      <c r="J42" s="139">
        <f t="shared" ref="J42:L43" si="166">I42</f>
        <v>0</v>
      </c>
      <c r="K42" s="139">
        <f t="shared" si="166"/>
        <v>0</v>
      </c>
      <c r="L42" s="139">
        <f t="shared" si="166"/>
        <v>0</v>
      </c>
      <c r="M42" s="132">
        <f>I42+J42+K42+L42</f>
        <v>0</v>
      </c>
      <c r="N42" s="136" t="str">
        <f>A42</f>
        <v>8.1.</v>
      </c>
      <c r="O42" s="137" t="str">
        <f t="shared" ref="O42:O58" si="167">B42</f>
        <v>Объем производства</v>
      </c>
      <c r="P42" s="138" t="str">
        <f>C42</f>
        <v/>
      </c>
      <c r="Q42" s="139">
        <v>0</v>
      </c>
      <c r="R42" s="139">
        <f t="shared" ref="R42:T43" si="168">Q42</f>
        <v>0</v>
      </c>
      <c r="S42" s="139">
        <f t="shared" si="168"/>
        <v>0</v>
      </c>
      <c r="T42" s="139">
        <f t="shared" si="168"/>
        <v>0</v>
      </c>
      <c r="U42" s="132">
        <f>Q42+R42+S42+T42</f>
        <v>0</v>
      </c>
      <c r="V42" s="139">
        <f>T42</f>
        <v>0</v>
      </c>
      <c r="W42" s="139">
        <f t="shared" ref="W42:Y43" si="169">V42</f>
        <v>0</v>
      </c>
      <c r="X42" s="139">
        <f t="shared" si="169"/>
        <v>0</v>
      </c>
      <c r="Y42" s="139">
        <f t="shared" si="169"/>
        <v>0</v>
      </c>
      <c r="Z42" s="132">
        <f>V42+W42+X42+Y42</f>
        <v>0</v>
      </c>
      <c r="AA42" s="136" t="str">
        <f>N42</f>
        <v>8.1.</v>
      </c>
      <c r="AB42" s="137" t="str">
        <f t="shared" ref="AB42:AB58" si="170">O42</f>
        <v>Объем производства</v>
      </c>
      <c r="AC42" s="138" t="str">
        <f>P42</f>
        <v/>
      </c>
      <c r="AD42" s="139">
        <v>0</v>
      </c>
      <c r="AE42" s="139">
        <f t="shared" ref="AE42:AG43" si="171">AD42</f>
        <v>0</v>
      </c>
      <c r="AF42" s="139">
        <f t="shared" si="171"/>
        <v>0</v>
      </c>
      <c r="AG42" s="139">
        <f t="shared" si="171"/>
        <v>0</v>
      </c>
      <c r="AH42" s="132">
        <f>AD42+AE42+AF42+AG42</f>
        <v>0</v>
      </c>
      <c r="AI42" s="139">
        <f>AG42</f>
        <v>0</v>
      </c>
      <c r="AJ42" s="139">
        <f t="shared" ref="AJ42:AL43" si="172">AI42</f>
        <v>0</v>
      </c>
      <c r="AK42" s="139">
        <f t="shared" si="172"/>
        <v>0</v>
      </c>
      <c r="AL42" s="139">
        <f t="shared" si="172"/>
        <v>0</v>
      </c>
      <c r="AM42" s="135">
        <f>AI42+AJ42+AK42+AL42</f>
        <v>0</v>
      </c>
      <c r="AN42" s="136" t="str">
        <f>AA42</f>
        <v>8.1.</v>
      </c>
      <c r="AO42" s="137" t="str">
        <f t="shared" ref="AO42:AO58" si="173">AB42</f>
        <v>Объем производства</v>
      </c>
      <c r="AP42" s="138" t="str">
        <f>AC42</f>
        <v/>
      </c>
      <c r="AQ42" s="139">
        <f>AL42</f>
        <v>0</v>
      </c>
      <c r="AR42" s="139">
        <f t="shared" ref="AR42:AT43" si="174">AQ42</f>
        <v>0</v>
      </c>
      <c r="AS42" s="139">
        <f t="shared" si="174"/>
        <v>0</v>
      </c>
      <c r="AT42" s="139">
        <f t="shared" si="174"/>
        <v>0</v>
      </c>
      <c r="AU42" s="132">
        <f>AQ42+AR42+AS42+AT42</f>
        <v>0</v>
      </c>
      <c r="AV42" s="139">
        <f>AT42</f>
        <v>0</v>
      </c>
      <c r="AW42" s="139">
        <f t="shared" ref="AW42:AY43" si="175">AV42</f>
        <v>0</v>
      </c>
      <c r="AX42" s="139">
        <f t="shared" si="175"/>
        <v>0</v>
      </c>
      <c r="AY42" s="139">
        <f t="shared" si="175"/>
        <v>0</v>
      </c>
      <c r="AZ42" s="135">
        <f>AV42+AW42+AX42+AY42</f>
        <v>0</v>
      </c>
    </row>
    <row r="43" spans="1:52" ht="12.6" customHeight="1">
      <c r="A43" s="140" t="s">
        <v>128</v>
      </c>
      <c r="B43" s="137" t="s">
        <v>107</v>
      </c>
      <c r="C43" s="138" t="s">
        <v>108</v>
      </c>
      <c r="D43" s="132">
        <f>'Исходные данные'!C96</f>
        <v>0</v>
      </c>
      <c r="E43" s="132">
        <f t="shared" si="165"/>
        <v>0</v>
      </c>
      <c r="F43" s="132">
        <f t="shared" si="165"/>
        <v>0</v>
      </c>
      <c r="G43" s="132">
        <f t="shared" si="165"/>
        <v>0</v>
      </c>
      <c r="H43" s="132">
        <v>0</v>
      </c>
      <c r="I43" s="132">
        <f>G43</f>
        <v>0</v>
      </c>
      <c r="J43" s="132">
        <f t="shared" si="166"/>
        <v>0</v>
      </c>
      <c r="K43" s="132">
        <f t="shared" si="166"/>
        <v>0</v>
      </c>
      <c r="L43" s="132">
        <f t="shared" si="166"/>
        <v>0</v>
      </c>
      <c r="M43" s="132">
        <f>L43</f>
        <v>0</v>
      </c>
      <c r="N43" s="140" t="str">
        <f>A43</f>
        <v>8.2.</v>
      </c>
      <c r="O43" s="137" t="str">
        <f t="shared" si="167"/>
        <v>Цена реализации</v>
      </c>
      <c r="P43" s="138" t="str">
        <f>C43</f>
        <v>тыс. руб.</v>
      </c>
      <c r="Q43" s="132">
        <f>M43</f>
        <v>0</v>
      </c>
      <c r="R43" s="132">
        <f t="shared" si="168"/>
        <v>0</v>
      </c>
      <c r="S43" s="132">
        <f t="shared" si="168"/>
        <v>0</v>
      </c>
      <c r="T43" s="132">
        <f t="shared" si="168"/>
        <v>0</v>
      </c>
      <c r="U43" s="132">
        <f>T43</f>
        <v>0</v>
      </c>
      <c r="V43" s="132">
        <f>T43</f>
        <v>0</v>
      </c>
      <c r="W43" s="132">
        <f t="shared" si="169"/>
        <v>0</v>
      </c>
      <c r="X43" s="132">
        <f t="shared" si="169"/>
        <v>0</v>
      </c>
      <c r="Y43" s="132">
        <f t="shared" si="169"/>
        <v>0</v>
      </c>
      <c r="Z43" s="132">
        <f>Y43</f>
        <v>0</v>
      </c>
      <c r="AA43" s="140" t="str">
        <f>N43</f>
        <v>8.2.</v>
      </c>
      <c r="AB43" s="137" t="str">
        <f t="shared" si="170"/>
        <v>Цена реализации</v>
      </c>
      <c r="AC43" s="138" t="str">
        <f>P43</f>
        <v>тыс. руб.</v>
      </c>
      <c r="AD43" s="132">
        <f>Z43</f>
        <v>0</v>
      </c>
      <c r="AE43" s="132">
        <f t="shared" si="171"/>
        <v>0</v>
      </c>
      <c r="AF43" s="132">
        <f t="shared" si="171"/>
        <v>0</v>
      </c>
      <c r="AG43" s="132">
        <f t="shared" si="171"/>
        <v>0</v>
      </c>
      <c r="AH43" s="132">
        <f>AG43</f>
        <v>0</v>
      </c>
      <c r="AI43" s="132">
        <f>AG43</f>
        <v>0</v>
      </c>
      <c r="AJ43" s="132">
        <f t="shared" si="172"/>
        <v>0</v>
      </c>
      <c r="AK43" s="132">
        <f t="shared" si="172"/>
        <v>0</v>
      </c>
      <c r="AL43" s="132">
        <f t="shared" si="172"/>
        <v>0</v>
      </c>
      <c r="AM43" s="135">
        <f>AL43</f>
        <v>0</v>
      </c>
      <c r="AN43" s="140" t="str">
        <f>AA43</f>
        <v>8.2.</v>
      </c>
      <c r="AO43" s="137" t="str">
        <f t="shared" si="173"/>
        <v>Цена реализации</v>
      </c>
      <c r="AP43" s="138" t="str">
        <f>AC43</f>
        <v>тыс. руб.</v>
      </c>
      <c r="AQ43" s="132">
        <f>AM43</f>
        <v>0</v>
      </c>
      <c r="AR43" s="132">
        <f t="shared" si="174"/>
        <v>0</v>
      </c>
      <c r="AS43" s="132">
        <f t="shared" si="174"/>
        <v>0</v>
      </c>
      <c r="AT43" s="132">
        <f t="shared" si="174"/>
        <v>0</v>
      </c>
      <c r="AU43" s="132">
        <f>AT43</f>
        <v>0</v>
      </c>
      <c r="AV43" s="132">
        <f>AT43</f>
        <v>0</v>
      </c>
      <c r="AW43" s="132">
        <f t="shared" si="175"/>
        <v>0</v>
      </c>
      <c r="AX43" s="132">
        <f t="shared" si="175"/>
        <v>0</v>
      </c>
      <c r="AY43" s="132">
        <f t="shared" si="175"/>
        <v>0</v>
      </c>
      <c r="AZ43" s="135">
        <f>AY43</f>
        <v>0</v>
      </c>
    </row>
    <row r="44" spans="1:52" ht="12.6" customHeight="1">
      <c r="A44" s="140" t="s">
        <v>129</v>
      </c>
      <c r="B44" s="137" t="s">
        <v>109</v>
      </c>
      <c r="C44" s="138" t="s">
        <v>108</v>
      </c>
      <c r="D44" s="132">
        <f>D42*D43</f>
        <v>0</v>
      </c>
      <c r="E44" s="132">
        <f>E42*E43</f>
        <v>0</v>
      </c>
      <c r="F44" s="132">
        <f>F42*F43</f>
        <v>0</v>
      </c>
      <c r="G44" s="132">
        <f>G42*G43</f>
        <v>0</v>
      </c>
      <c r="H44" s="141">
        <f>D44+E44+F44+G44</f>
        <v>0</v>
      </c>
      <c r="I44" s="132">
        <f>I42*I43</f>
        <v>0</v>
      </c>
      <c r="J44" s="132">
        <f>J42*J43</f>
        <v>0</v>
      </c>
      <c r="K44" s="132">
        <f>K42*K43</f>
        <v>0</v>
      </c>
      <c r="L44" s="132">
        <f>L42*L43</f>
        <v>0</v>
      </c>
      <c r="M44" s="141">
        <f>I44+J44+K44+L44</f>
        <v>0</v>
      </c>
      <c r="N44" s="140" t="str">
        <f>A44</f>
        <v>8.3.</v>
      </c>
      <c r="O44" s="137" t="str">
        <f t="shared" si="167"/>
        <v>Выручка от реализации, в т.ч.:</v>
      </c>
      <c r="P44" s="138" t="str">
        <f>C44</f>
        <v>тыс. руб.</v>
      </c>
      <c r="Q44" s="132">
        <f>Q42*Q43</f>
        <v>0</v>
      </c>
      <c r="R44" s="132">
        <f>R42*R43</f>
        <v>0</v>
      </c>
      <c r="S44" s="132">
        <f>S42*S43</f>
        <v>0</v>
      </c>
      <c r="T44" s="132">
        <f>T42*T43</f>
        <v>0</v>
      </c>
      <c r="U44" s="141">
        <f>Q44+R44+S44+T44</f>
        <v>0</v>
      </c>
      <c r="V44" s="132">
        <f>V42*V43</f>
        <v>0</v>
      </c>
      <c r="W44" s="132">
        <f>W42*W43</f>
        <v>0</v>
      </c>
      <c r="X44" s="132">
        <f>X42*X43</f>
        <v>0</v>
      </c>
      <c r="Y44" s="132">
        <f>Y42*Y43</f>
        <v>0</v>
      </c>
      <c r="Z44" s="141">
        <f>V44+W44+X44+Y44</f>
        <v>0</v>
      </c>
      <c r="AA44" s="140" t="str">
        <f>N44</f>
        <v>8.3.</v>
      </c>
      <c r="AB44" s="137" t="str">
        <f t="shared" si="170"/>
        <v>Выручка от реализации, в т.ч.:</v>
      </c>
      <c r="AC44" s="138" t="str">
        <f>P44</f>
        <v>тыс. руб.</v>
      </c>
      <c r="AD44" s="132">
        <f>AD42*AD43</f>
        <v>0</v>
      </c>
      <c r="AE44" s="132">
        <f>AE42*AE43</f>
        <v>0</v>
      </c>
      <c r="AF44" s="132">
        <f>AF42*AF43</f>
        <v>0</v>
      </c>
      <c r="AG44" s="132">
        <f>AG42*AG43</f>
        <v>0</v>
      </c>
      <c r="AH44" s="141">
        <f>AD44+AE44+AF44+AG44</f>
        <v>0</v>
      </c>
      <c r="AI44" s="132">
        <f>AI42*AI43</f>
        <v>0</v>
      </c>
      <c r="AJ44" s="132">
        <f>AJ42*AJ43</f>
        <v>0</v>
      </c>
      <c r="AK44" s="132">
        <f>AK42*AK43</f>
        <v>0</v>
      </c>
      <c r="AL44" s="132">
        <f>AL42*AL43</f>
        <v>0</v>
      </c>
      <c r="AM44" s="142">
        <f>AI44+AJ44+AK44+AL44</f>
        <v>0</v>
      </c>
      <c r="AN44" s="140" t="str">
        <f>AA44</f>
        <v>8.3.</v>
      </c>
      <c r="AO44" s="137" t="str">
        <f t="shared" si="173"/>
        <v>Выручка от реализации, в т.ч.:</v>
      </c>
      <c r="AP44" s="138" t="str">
        <f>AC44</f>
        <v>тыс. руб.</v>
      </c>
      <c r="AQ44" s="132">
        <f>AQ42*AQ43</f>
        <v>0</v>
      </c>
      <c r="AR44" s="132">
        <f>AR42*AR43</f>
        <v>0</v>
      </c>
      <c r="AS44" s="132">
        <f>AS42*AS43</f>
        <v>0</v>
      </c>
      <c r="AT44" s="132">
        <f>AT42*AT43</f>
        <v>0</v>
      </c>
      <c r="AU44" s="141">
        <f>AQ44+AR44+AS44+AT44</f>
        <v>0</v>
      </c>
      <c r="AV44" s="132">
        <f>AV42*AV43</f>
        <v>0</v>
      </c>
      <c r="AW44" s="132">
        <f>AW42*AW43</f>
        <v>0</v>
      </c>
      <c r="AX44" s="132">
        <f>AX42*AX43</f>
        <v>0</v>
      </c>
      <c r="AY44" s="132">
        <f>AY42*AY43</f>
        <v>0</v>
      </c>
      <c r="AZ44" s="142">
        <f>AV44+AW44+AX44+AY44</f>
        <v>0</v>
      </c>
    </row>
    <row r="45" spans="1:52" ht="12.6" customHeight="1">
      <c r="A45" s="143"/>
      <c r="B45" s="137" t="s">
        <v>110</v>
      </c>
      <c r="C45" s="138" t="s">
        <v>108</v>
      </c>
      <c r="D45" s="132">
        <f>D44/118*18</f>
        <v>0</v>
      </c>
      <c r="E45" s="132">
        <f>E44/118*18</f>
        <v>0</v>
      </c>
      <c r="F45" s="132">
        <f>F44/118*18</f>
        <v>0</v>
      </c>
      <c r="G45" s="132">
        <f>G44/118*18</f>
        <v>0</v>
      </c>
      <c r="H45" s="141">
        <f>D45+E45+F45+G45</f>
        <v>0</v>
      </c>
      <c r="I45" s="132">
        <f>I44/118*18</f>
        <v>0</v>
      </c>
      <c r="J45" s="132">
        <f>J44/118*18</f>
        <v>0</v>
      </c>
      <c r="K45" s="132">
        <f>K44/118*18</f>
        <v>0</v>
      </c>
      <c r="L45" s="132">
        <f>L44/118*18</f>
        <v>0</v>
      </c>
      <c r="M45" s="141">
        <f>I45+J45+K45+L45</f>
        <v>0</v>
      </c>
      <c r="N45" s="143"/>
      <c r="O45" s="137" t="str">
        <f t="shared" si="167"/>
        <v xml:space="preserve">   НДС</v>
      </c>
      <c r="P45" s="138" t="str">
        <f>C45</f>
        <v>тыс. руб.</v>
      </c>
      <c r="Q45" s="132">
        <f>Q44/118*18</f>
        <v>0</v>
      </c>
      <c r="R45" s="132">
        <f>R44/118*18</f>
        <v>0</v>
      </c>
      <c r="S45" s="132">
        <f>S44/118*18</f>
        <v>0</v>
      </c>
      <c r="T45" s="132">
        <f>T44/118*18</f>
        <v>0</v>
      </c>
      <c r="U45" s="141">
        <f>Q45+R45+S45+T45</f>
        <v>0</v>
      </c>
      <c r="V45" s="132">
        <f>V44/118*18</f>
        <v>0</v>
      </c>
      <c r="W45" s="132">
        <f>W44/118*18</f>
        <v>0</v>
      </c>
      <c r="X45" s="132">
        <f>X44/118*18</f>
        <v>0</v>
      </c>
      <c r="Y45" s="132">
        <f>Y44/118*18</f>
        <v>0</v>
      </c>
      <c r="Z45" s="141">
        <f>V45+W45+X45+Y45</f>
        <v>0</v>
      </c>
      <c r="AA45" s="143"/>
      <c r="AB45" s="137" t="str">
        <f t="shared" si="170"/>
        <v xml:space="preserve">   НДС</v>
      </c>
      <c r="AC45" s="138" t="str">
        <f>P45</f>
        <v>тыс. руб.</v>
      </c>
      <c r="AD45" s="132">
        <f>AD44/118*18</f>
        <v>0</v>
      </c>
      <c r="AE45" s="132">
        <f>AE44/118*18</f>
        <v>0</v>
      </c>
      <c r="AF45" s="132">
        <f>AF44/118*18</f>
        <v>0</v>
      </c>
      <c r="AG45" s="132">
        <f>AG44/118*18</f>
        <v>0</v>
      </c>
      <c r="AH45" s="141">
        <f>AD45+AE45+AF45+AG45</f>
        <v>0</v>
      </c>
      <c r="AI45" s="132">
        <f>AI44/118*18</f>
        <v>0</v>
      </c>
      <c r="AJ45" s="132">
        <f>AJ44/118*18</f>
        <v>0</v>
      </c>
      <c r="AK45" s="132">
        <f>AK44/118*18</f>
        <v>0</v>
      </c>
      <c r="AL45" s="132">
        <f>AL44/118*18</f>
        <v>0</v>
      </c>
      <c r="AM45" s="142">
        <f>AI45+AJ45+AK45+AL45</f>
        <v>0</v>
      </c>
      <c r="AN45" s="143"/>
      <c r="AO45" s="137" t="str">
        <f t="shared" si="173"/>
        <v xml:space="preserve">   НДС</v>
      </c>
      <c r="AP45" s="138" t="str">
        <f>AC45</f>
        <v>тыс. руб.</v>
      </c>
      <c r="AQ45" s="132">
        <f>AQ44/118*18</f>
        <v>0</v>
      </c>
      <c r="AR45" s="132">
        <f>AR44/118*18</f>
        <v>0</v>
      </c>
      <c r="AS45" s="132">
        <f>AS44/118*18</f>
        <v>0</v>
      </c>
      <c r="AT45" s="132">
        <f>AT44/118*18</f>
        <v>0</v>
      </c>
      <c r="AU45" s="141">
        <f>AQ45+AR45+AS45+AT45</f>
        <v>0</v>
      </c>
      <c r="AV45" s="132">
        <f>AV44/118*18</f>
        <v>0</v>
      </c>
      <c r="AW45" s="132">
        <f>AW44/118*18</f>
        <v>0</v>
      </c>
      <c r="AX45" s="132">
        <f>AX44/118*18</f>
        <v>0</v>
      </c>
      <c r="AY45" s="132">
        <f>AY44/118*18</f>
        <v>0</v>
      </c>
      <c r="AZ45" s="142">
        <f>AV45+AW45+AX45+AY45</f>
        <v>0</v>
      </c>
    </row>
    <row r="46" spans="1:52" ht="12.75" customHeight="1">
      <c r="A46" s="144">
        <f>IF(B46="Продукция (услуга, работа)",A41,A41+1)</f>
        <v>6</v>
      </c>
      <c r="B46" s="130" t="str">
        <f>'Исходные данные'!A97</f>
        <v>Продукция (услуга, работа)</v>
      </c>
      <c r="C46" s="131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4">
        <f>A46</f>
        <v>6</v>
      </c>
      <c r="O46" s="130" t="str">
        <f t="shared" si="167"/>
        <v>Продукция (услуга, работа)</v>
      </c>
      <c r="P46" s="131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4">
        <f>N46</f>
        <v>6</v>
      </c>
      <c r="AB46" s="130" t="str">
        <f t="shared" si="170"/>
        <v>Продукция (услуга, работа)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2"/>
      <c r="AM46" s="135"/>
      <c r="AN46" s="134">
        <f>AA46</f>
        <v>6</v>
      </c>
      <c r="AO46" s="130" t="str">
        <f t="shared" si="173"/>
        <v>Продукция (услуга, работа)</v>
      </c>
      <c r="AP46" s="131"/>
      <c r="AQ46" s="132"/>
      <c r="AR46" s="132"/>
      <c r="AS46" s="132"/>
      <c r="AT46" s="132"/>
      <c r="AU46" s="132"/>
      <c r="AV46" s="132"/>
      <c r="AW46" s="132"/>
      <c r="AX46" s="132"/>
      <c r="AY46" s="132"/>
      <c r="AZ46" s="135"/>
    </row>
    <row r="47" spans="1:52" ht="12.6" customHeight="1">
      <c r="A47" s="136" t="s">
        <v>130</v>
      </c>
      <c r="B47" s="137" t="s">
        <v>106</v>
      </c>
      <c r="C47" s="138" t="str">
        <f>IF('Исходные данные'!B129="","",'Исходные данные'!B129)</f>
        <v/>
      </c>
      <c r="D47" s="139">
        <v>0</v>
      </c>
      <c r="E47" s="139">
        <f t="shared" ref="E47:G48" si="176">D47</f>
        <v>0</v>
      </c>
      <c r="F47" s="139">
        <f t="shared" si="176"/>
        <v>0</v>
      </c>
      <c r="G47" s="139">
        <f t="shared" si="176"/>
        <v>0</v>
      </c>
      <c r="H47" s="132">
        <f>D47+E47+F47+G47</f>
        <v>0</v>
      </c>
      <c r="I47" s="139">
        <f>G47</f>
        <v>0</v>
      </c>
      <c r="J47" s="139">
        <f t="shared" ref="J47:L48" si="177">I47</f>
        <v>0</v>
      </c>
      <c r="K47" s="139">
        <f t="shared" si="177"/>
        <v>0</v>
      </c>
      <c r="L47" s="139">
        <f t="shared" si="177"/>
        <v>0</v>
      </c>
      <c r="M47" s="132">
        <f>I47+J47+K47+L47</f>
        <v>0</v>
      </c>
      <c r="N47" s="136" t="str">
        <f>A47</f>
        <v>9.1.</v>
      </c>
      <c r="O47" s="137" t="str">
        <f t="shared" si="167"/>
        <v>Объем производства</v>
      </c>
      <c r="P47" s="138" t="str">
        <f>C47</f>
        <v/>
      </c>
      <c r="Q47" s="139">
        <v>0</v>
      </c>
      <c r="R47" s="139">
        <f t="shared" ref="R47:T48" si="178">Q47</f>
        <v>0</v>
      </c>
      <c r="S47" s="139">
        <f t="shared" si="178"/>
        <v>0</v>
      </c>
      <c r="T47" s="139">
        <f t="shared" si="178"/>
        <v>0</v>
      </c>
      <c r="U47" s="132">
        <f>Q47+R47+S47+T47</f>
        <v>0</v>
      </c>
      <c r="V47" s="139">
        <f>T47</f>
        <v>0</v>
      </c>
      <c r="W47" s="139">
        <f t="shared" ref="W47:Y48" si="179">V47</f>
        <v>0</v>
      </c>
      <c r="X47" s="139">
        <f t="shared" si="179"/>
        <v>0</v>
      </c>
      <c r="Y47" s="139">
        <f t="shared" si="179"/>
        <v>0</v>
      </c>
      <c r="Z47" s="132">
        <f>V47+W47+X47+Y47</f>
        <v>0</v>
      </c>
      <c r="AA47" s="136" t="str">
        <f>N47</f>
        <v>9.1.</v>
      </c>
      <c r="AB47" s="137" t="str">
        <f t="shared" si="170"/>
        <v>Объем производства</v>
      </c>
      <c r="AC47" s="138" t="str">
        <f>P47</f>
        <v/>
      </c>
      <c r="AD47" s="139">
        <v>0</v>
      </c>
      <c r="AE47" s="139">
        <f t="shared" ref="AE47:AG48" si="180">AD47</f>
        <v>0</v>
      </c>
      <c r="AF47" s="139">
        <f t="shared" si="180"/>
        <v>0</v>
      </c>
      <c r="AG47" s="139">
        <f t="shared" si="180"/>
        <v>0</v>
      </c>
      <c r="AH47" s="132">
        <f>AD47+AE47+AF47+AG47</f>
        <v>0</v>
      </c>
      <c r="AI47" s="139">
        <f>AG47</f>
        <v>0</v>
      </c>
      <c r="AJ47" s="139">
        <f t="shared" ref="AJ47:AL48" si="181">AI47</f>
        <v>0</v>
      </c>
      <c r="AK47" s="139">
        <f t="shared" si="181"/>
        <v>0</v>
      </c>
      <c r="AL47" s="139">
        <f t="shared" si="181"/>
        <v>0</v>
      </c>
      <c r="AM47" s="135">
        <f>AI47+AJ47+AK47+AL47</f>
        <v>0</v>
      </c>
      <c r="AN47" s="136" t="str">
        <f>AA47</f>
        <v>9.1.</v>
      </c>
      <c r="AO47" s="137" t="str">
        <f t="shared" si="173"/>
        <v>Объем производства</v>
      </c>
      <c r="AP47" s="138" t="str">
        <f>AC47</f>
        <v/>
      </c>
      <c r="AQ47" s="139">
        <f>AL47</f>
        <v>0</v>
      </c>
      <c r="AR47" s="139">
        <f t="shared" ref="AR47:AT48" si="182">AQ47</f>
        <v>0</v>
      </c>
      <c r="AS47" s="139">
        <f t="shared" si="182"/>
        <v>0</v>
      </c>
      <c r="AT47" s="139">
        <f t="shared" si="182"/>
        <v>0</v>
      </c>
      <c r="AU47" s="132">
        <f>AQ47+AR47+AS47+AT47</f>
        <v>0</v>
      </c>
      <c r="AV47" s="139">
        <f>AT47</f>
        <v>0</v>
      </c>
      <c r="AW47" s="139">
        <f t="shared" ref="AW47:AY48" si="183">AV47</f>
        <v>0</v>
      </c>
      <c r="AX47" s="139">
        <f t="shared" si="183"/>
        <v>0</v>
      </c>
      <c r="AY47" s="139">
        <f t="shared" si="183"/>
        <v>0</v>
      </c>
      <c r="AZ47" s="135">
        <f>AV47+AW47+AX47+AY47</f>
        <v>0</v>
      </c>
    </row>
    <row r="48" spans="1:52" ht="12.6" customHeight="1">
      <c r="A48" s="140" t="s">
        <v>131</v>
      </c>
      <c r="B48" s="137" t="s">
        <v>107</v>
      </c>
      <c r="C48" s="138" t="s">
        <v>108</v>
      </c>
      <c r="D48" s="132">
        <f>'Исходные данные'!C97</f>
        <v>0</v>
      </c>
      <c r="E48" s="132">
        <f t="shared" si="176"/>
        <v>0</v>
      </c>
      <c r="F48" s="132">
        <f t="shared" si="176"/>
        <v>0</v>
      </c>
      <c r="G48" s="132">
        <f t="shared" si="176"/>
        <v>0</v>
      </c>
      <c r="H48" s="132">
        <v>0</v>
      </c>
      <c r="I48" s="132">
        <f>G48</f>
        <v>0</v>
      </c>
      <c r="J48" s="132">
        <f t="shared" si="177"/>
        <v>0</v>
      </c>
      <c r="K48" s="132">
        <f t="shared" si="177"/>
        <v>0</v>
      </c>
      <c r="L48" s="132">
        <f t="shared" si="177"/>
        <v>0</v>
      </c>
      <c r="M48" s="132">
        <f>L48</f>
        <v>0</v>
      </c>
      <c r="N48" s="140" t="str">
        <f>A48</f>
        <v>9.2.</v>
      </c>
      <c r="O48" s="137" t="str">
        <f t="shared" si="167"/>
        <v>Цена реализации</v>
      </c>
      <c r="P48" s="138" t="str">
        <f>C48</f>
        <v>тыс. руб.</v>
      </c>
      <c r="Q48" s="132">
        <f>M48</f>
        <v>0</v>
      </c>
      <c r="R48" s="132">
        <f t="shared" si="178"/>
        <v>0</v>
      </c>
      <c r="S48" s="132">
        <f t="shared" si="178"/>
        <v>0</v>
      </c>
      <c r="T48" s="132">
        <f t="shared" si="178"/>
        <v>0</v>
      </c>
      <c r="U48" s="132">
        <f>T48</f>
        <v>0</v>
      </c>
      <c r="V48" s="132">
        <f>T48</f>
        <v>0</v>
      </c>
      <c r="W48" s="132">
        <f t="shared" si="179"/>
        <v>0</v>
      </c>
      <c r="X48" s="132">
        <f t="shared" si="179"/>
        <v>0</v>
      </c>
      <c r="Y48" s="132">
        <f t="shared" si="179"/>
        <v>0</v>
      </c>
      <c r="Z48" s="132">
        <f>Y48</f>
        <v>0</v>
      </c>
      <c r="AA48" s="140" t="str">
        <f>N48</f>
        <v>9.2.</v>
      </c>
      <c r="AB48" s="137" t="str">
        <f t="shared" si="170"/>
        <v>Цена реализации</v>
      </c>
      <c r="AC48" s="138" t="str">
        <f>P48</f>
        <v>тыс. руб.</v>
      </c>
      <c r="AD48" s="132">
        <f>Z48</f>
        <v>0</v>
      </c>
      <c r="AE48" s="132">
        <f t="shared" si="180"/>
        <v>0</v>
      </c>
      <c r="AF48" s="132">
        <f t="shared" si="180"/>
        <v>0</v>
      </c>
      <c r="AG48" s="132">
        <f t="shared" si="180"/>
        <v>0</v>
      </c>
      <c r="AH48" s="132">
        <f>AG48</f>
        <v>0</v>
      </c>
      <c r="AI48" s="132">
        <f>AG48</f>
        <v>0</v>
      </c>
      <c r="AJ48" s="132">
        <f t="shared" si="181"/>
        <v>0</v>
      </c>
      <c r="AK48" s="132">
        <f t="shared" si="181"/>
        <v>0</v>
      </c>
      <c r="AL48" s="132">
        <f t="shared" si="181"/>
        <v>0</v>
      </c>
      <c r="AM48" s="135">
        <f>AL48</f>
        <v>0</v>
      </c>
      <c r="AN48" s="140" t="str">
        <f>AA48</f>
        <v>9.2.</v>
      </c>
      <c r="AO48" s="137" t="str">
        <f t="shared" si="173"/>
        <v>Цена реализации</v>
      </c>
      <c r="AP48" s="138" t="str">
        <f>AC48</f>
        <v>тыс. руб.</v>
      </c>
      <c r="AQ48" s="132">
        <f>AM48</f>
        <v>0</v>
      </c>
      <c r="AR48" s="132">
        <f t="shared" si="182"/>
        <v>0</v>
      </c>
      <c r="AS48" s="132">
        <f t="shared" si="182"/>
        <v>0</v>
      </c>
      <c r="AT48" s="132">
        <f t="shared" si="182"/>
        <v>0</v>
      </c>
      <c r="AU48" s="132">
        <f>AT48</f>
        <v>0</v>
      </c>
      <c r="AV48" s="132">
        <f>AT48</f>
        <v>0</v>
      </c>
      <c r="AW48" s="132">
        <f t="shared" si="183"/>
        <v>0</v>
      </c>
      <c r="AX48" s="132">
        <f t="shared" si="183"/>
        <v>0</v>
      </c>
      <c r="AY48" s="132">
        <f t="shared" si="183"/>
        <v>0</v>
      </c>
      <c r="AZ48" s="135">
        <f>AY48</f>
        <v>0</v>
      </c>
    </row>
    <row r="49" spans="1:52" ht="12.6" customHeight="1">
      <c r="A49" s="140" t="s">
        <v>132</v>
      </c>
      <c r="B49" s="137" t="s">
        <v>109</v>
      </c>
      <c r="C49" s="138" t="s">
        <v>108</v>
      </c>
      <c r="D49" s="132">
        <f>D47*D48</f>
        <v>0</v>
      </c>
      <c r="E49" s="132">
        <f>E47*E48</f>
        <v>0</v>
      </c>
      <c r="F49" s="132">
        <f>F47*F48</f>
        <v>0</v>
      </c>
      <c r="G49" s="132">
        <f>G47*G48</f>
        <v>0</v>
      </c>
      <c r="H49" s="141">
        <f>D49+E49+F49+G49</f>
        <v>0</v>
      </c>
      <c r="I49" s="132">
        <f>I47*I48</f>
        <v>0</v>
      </c>
      <c r="J49" s="132">
        <f>J47*J48</f>
        <v>0</v>
      </c>
      <c r="K49" s="132">
        <f>K47*K48</f>
        <v>0</v>
      </c>
      <c r="L49" s="132">
        <f>L47*L48</f>
        <v>0</v>
      </c>
      <c r="M49" s="141">
        <f>I49+J49+K49+L49</f>
        <v>0</v>
      </c>
      <c r="N49" s="140" t="str">
        <f>A49</f>
        <v>9.3.</v>
      </c>
      <c r="O49" s="137" t="str">
        <f t="shared" si="167"/>
        <v>Выручка от реализации, в т.ч.:</v>
      </c>
      <c r="P49" s="138" t="str">
        <f>C49</f>
        <v>тыс. руб.</v>
      </c>
      <c r="Q49" s="132">
        <f>Q47*Q48</f>
        <v>0</v>
      </c>
      <c r="R49" s="132">
        <f>R47*R48</f>
        <v>0</v>
      </c>
      <c r="S49" s="132">
        <f>S47*S48</f>
        <v>0</v>
      </c>
      <c r="T49" s="132">
        <f>T47*T48</f>
        <v>0</v>
      </c>
      <c r="U49" s="141">
        <f>Q49+R49+S49+T49</f>
        <v>0</v>
      </c>
      <c r="V49" s="132">
        <f>V47*V48</f>
        <v>0</v>
      </c>
      <c r="W49" s="132">
        <f>W47*W48</f>
        <v>0</v>
      </c>
      <c r="X49" s="132">
        <f>X47*X48</f>
        <v>0</v>
      </c>
      <c r="Y49" s="132">
        <f>Y47*Y48</f>
        <v>0</v>
      </c>
      <c r="Z49" s="141">
        <f>V49+W49+X49+Y49</f>
        <v>0</v>
      </c>
      <c r="AA49" s="140" t="str">
        <f>N49</f>
        <v>9.3.</v>
      </c>
      <c r="AB49" s="137" t="str">
        <f t="shared" si="170"/>
        <v>Выручка от реализации, в т.ч.:</v>
      </c>
      <c r="AC49" s="138" t="str">
        <f>P49</f>
        <v>тыс. руб.</v>
      </c>
      <c r="AD49" s="132">
        <f>AD47*AD48</f>
        <v>0</v>
      </c>
      <c r="AE49" s="132">
        <f>AE47*AE48</f>
        <v>0</v>
      </c>
      <c r="AF49" s="132">
        <f>AF47*AF48</f>
        <v>0</v>
      </c>
      <c r="AG49" s="132">
        <f>AG47*AG48</f>
        <v>0</v>
      </c>
      <c r="AH49" s="141">
        <f>AD49+AE49+AF49+AG49</f>
        <v>0</v>
      </c>
      <c r="AI49" s="132">
        <f>AI47*AI48</f>
        <v>0</v>
      </c>
      <c r="AJ49" s="132">
        <f>AJ47*AJ48</f>
        <v>0</v>
      </c>
      <c r="AK49" s="132">
        <f>AK47*AK48</f>
        <v>0</v>
      </c>
      <c r="AL49" s="132">
        <f>AL47*AL48</f>
        <v>0</v>
      </c>
      <c r="AM49" s="142">
        <f>AI49+AJ49+AK49+AL49</f>
        <v>0</v>
      </c>
      <c r="AN49" s="140" t="str">
        <f>AA49</f>
        <v>9.3.</v>
      </c>
      <c r="AO49" s="137" t="str">
        <f t="shared" si="173"/>
        <v>Выручка от реализации, в т.ч.:</v>
      </c>
      <c r="AP49" s="138" t="str">
        <f>AC49</f>
        <v>тыс. руб.</v>
      </c>
      <c r="AQ49" s="132">
        <f>AQ47*AQ48</f>
        <v>0</v>
      </c>
      <c r="AR49" s="132">
        <f>AR47*AR48</f>
        <v>0</v>
      </c>
      <c r="AS49" s="132">
        <f>AS47*AS48</f>
        <v>0</v>
      </c>
      <c r="AT49" s="132">
        <f>AT47*AT48</f>
        <v>0</v>
      </c>
      <c r="AU49" s="141">
        <f>AQ49+AR49+AS49+AT49</f>
        <v>0</v>
      </c>
      <c r="AV49" s="132">
        <f>AV47*AV48</f>
        <v>0</v>
      </c>
      <c r="AW49" s="132">
        <f>AW47*AW48</f>
        <v>0</v>
      </c>
      <c r="AX49" s="132">
        <f>AX47*AX48</f>
        <v>0</v>
      </c>
      <c r="AY49" s="132">
        <f>AY47*AY48</f>
        <v>0</v>
      </c>
      <c r="AZ49" s="142">
        <f>AV49+AW49+AX49+AY49</f>
        <v>0</v>
      </c>
    </row>
    <row r="50" spans="1:52" ht="12.6" customHeight="1">
      <c r="A50" s="143"/>
      <c r="B50" s="137" t="s">
        <v>110</v>
      </c>
      <c r="C50" s="138" t="s">
        <v>108</v>
      </c>
      <c r="D50" s="132">
        <f>D49/118*18</f>
        <v>0</v>
      </c>
      <c r="E50" s="132">
        <f>E49/118*18</f>
        <v>0</v>
      </c>
      <c r="F50" s="132">
        <f>F49/118*18</f>
        <v>0</v>
      </c>
      <c r="G50" s="132">
        <f>G49/118*18</f>
        <v>0</v>
      </c>
      <c r="H50" s="141">
        <f>D50+E50+F50+G50</f>
        <v>0</v>
      </c>
      <c r="I50" s="132">
        <f>I49/118*18</f>
        <v>0</v>
      </c>
      <c r="J50" s="132">
        <f>J49/118*18</f>
        <v>0</v>
      </c>
      <c r="K50" s="132">
        <f>K49/118*18</f>
        <v>0</v>
      </c>
      <c r="L50" s="132">
        <f>L49/118*18</f>
        <v>0</v>
      </c>
      <c r="M50" s="141">
        <f>I50+J50+K50+L50</f>
        <v>0</v>
      </c>
      <c r="N50" s="143"/>
      <c r="O50" s="137" t="str">
        <f t="shared" si="167"/>
        <v xml:space="preserve">   НДС</v>
      </c>
      <c r="P50" s="138" t="str">
        <f>C50</f>
        <v>тыс. руб.</v>
      </c>
      <c r="Q50" s="132">
        <f>Q49/118*18</f>
        <v>0</v>
      </c>
      <c r="R50" s="132">
        <f>R49/118*18</f>
        <v>0</v>
      </c>
      <c r="S50" s="132">
        <f>S49/118*18</f>
        <v>0</v>
      </c>
      <c r="T50" s="132">
        <f>T49/118*18</f>
        <v>0</v>
      </c>
      <c r="U50" s="141">
        <f>Q50+R50+S50+T50</f>
        <v>0</v>
      </c>
      <c r="V50" s="132">
        <f>V49/118*18</f>
        <v>0</v>
      </c>
      <c r="W50" s="132">
        <f>W49/118*18</f>
        <v>0</v>
      </c>
      <c r="X50" s="132">
        <f>X49/118*18</f>
        <v>0</v>
      </c>
      <c r="Y50" s="132">
        <f>Y49/118*18</f>
        <v>0</v>
      </c>
      <c r="Z50" s="141">
        <f>V50+W50+X50+Y50</f>
        <v>0</v>
      </c>
      <c r="AA50" s="143"/>
      <c r="AB50" s="137" t="str">
        <f t="shared" si="170"/>
        <v xml:space="preserve">   НДС</v>
      </c>
      <c r="AC50" s="138" t="str">
        <f>P50</f>
        <v>тыс. руб.</v>
      </c>
      <c r="AD50" s="132">
        <f>AD49/118*18</f>
        <v>0</v>
      </c>
      <c r="AE50" s="132">
        <f>AE49/118*18</f>
        <v>0</v>
      </c>
      <c r="AF50" s="132">
        <f>AF49/118*18</f>
        <v>0</v>
      </c>
      <c r="AG50" s="132">
        <f>AG49/118*18</f>
        <v>0</v>
      </c>
      <c r="AH50" s="141">
        <f>AD50+AE50+AF50+AG50</f>
        <v>0</v>
      </c>
      <c r="AI50" s="132">
        <f>AI49/118*18</f>
        <v>0</v>
      </c>
      <c r="AJ50" s="132">
        <f>AJ49/118*18</f>
        <v>0</v>
      </c>
      <c r="AK50" s="132">
        <f>AK49/118*18</f>
        <v>0</v>
      </c>
      <c r="AL50" s="132">
        <f>AL49/118*18</f>
        <v>0</v>
      </c>
      <c r="AM50" s="142">
        <f>AI50+AJ50+AK50+AL50</f>
        <v>0</v>
      </c>
      <c r="AN50" s="143"/>
      <c r="AO50" s="137" t="str">
        <f t="shared" si="173"/>
        <v xml:space="preserve">   НДС</v>
      </c>
      <c r="AP50" s="138" t="str">
        <f>AC50</f>
        <v>тыс. руб.</v>
      </c>
      <c r="AQ50" s="132">
        <f>AQ49/118*18</f>
        <v>0</v>
      </c>
      <c r="AR50" s="132">
        <f>AR49/118*18</f>
        <v>0</v>
      </c>
      <c r="AS50" s="132">
        <f>AS49/118*18</f>
        <v>0</v>
      </c>
      <c r="AT50" s="132">
        <f>AT49/118*18</f>
        <v>0</v>
      </c>
      <c r="AU50" s="141">
        <f>AQ50+AR50+AS50+AT50</f>
        <v>0</v>
      </c>
      <c r="AV50" s="132">
        <f>AV49/118*18</f>
        <v>0</v>
      </c>
      <c r="AW50" s="132">
        <f>AW49/118*18</f>
        <v>0</v>
      </c>
      <c r="AX50" s="132">
        <f>AX49/118*18</f>
        <v>0</v>
      </c>
      <c r="AY50" s="132">
        <f>AY49/118*18</f>
        <v>0</v>
      </c>
      <c r="AZ50" s="142">
        <f>AV50+AW50+AX50+AY50</f>
        <v>0</v>
      </c>
    </row>
    <row r="51" spans="1:52" ht="12.75" customHeight="1">
      <c r="A51" s="144">
        <f>IF(B51="Продукция (услуга, работа)",A46,A46+1)</f>
        <v>6</v>
      </c>
      <c r="B51" s="130" t="str">
        <f>'Исходные данные'!A98</f>
        <v>Продукция (услуга, работа)</v>
      </c>
      <c r="C51" s="131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4">
        <f>A51</f>
        <v>6</v>
      </c>
      <c r="O51" s="130" t="str">
        <f t="shared" si="167"/>
        <v>Продукция (услуга, работа)</v>
      </c>
      <c r="P51" s="131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4">
        <f>N51</f>
        <v>6</v>
      </c>
      <c r="AB51" s="130" t="str">
        <f t="shared" si="170"/>
        <v>Продукция (услуга, работа)</v>
      </c>
      <c r="AC51" s="131"/>
      <c r="AD51" s="132"/>
      <c r="AE51" s="132"/>
      <c r="AF51" s="132"/>
      <c r="AG51" s="132"/>
      <c r="AH51" s="132"/>
      <c r="AI51" s="132"/>
      <c r="AJ51" s="132"/>
      <c r="AK51" s="132"/>
      <c r="AL51" s="132"/>
      <c r="AM51" s="135"/>
      <c r="AN51" s="134">
        <f>AA51</f>
        <v>6</v>
      </c>
      <c r="AO51" s="130" t="str">
        <f t="shared" si="173"/>
        <v>Продукция (услуга, работа)</v>
      </c>
      <c r="AP51" s="131"/>
      <c r="AQ51" s="132"/>
      <c r="AR51" s="132"/>
      <c r="AS51" s="132"/>
      <c r="AT51" s="132"/>
      <c r="AU51" s="132"/>
      <c r="AV51" s="132"/>
      <c r="AW51" s="132"/>
      <c r="AX51" s="132"/>
      <c r="AY51" s="132"/>
      <c r="AZ51" s="135"/>
    </row>
    <row r="52" spans="1:52" ht="12.6" customHeight="1">
      <c r="A52" s="136" t="s">
        <v>133</v>
      </c>
      <c r="B52" s="137" t="s">
        <v>106</v>
      </c>
      <c r="C52" s="138" t="str">
        <f>IF('Исходные данные'!B134="","",'Исходные данные'!B134)</f>
        <v/>
      </c>
      <c r="D52" s="139">
        <v>0</v>
      </c>
      <c r="E52" s="139">
        <f t="shared" ref="E52:G53" si="184">D52</f>
        <v>0</v>
      </c>
      <c r="F52" s="139">
        <f t="shared" si="184"/>
        <v>0</v>
      </c>
      <c r="G52" s="139">
        <f t="shared" si="184"/>
        <v>0</v>
      </c>
      <c r="H52" s="132">
        <f>D52+E52+F52+G52</f>
        <v>0</v>
      </c>
      <c r="I52" s="139">
        <f>G52</f>
        <v>0</v>
      </c>
      <c r="J52" s="139">
        <f t="shared" ref="J52:L53" si="185">I52</f>
        <v>0</v>
      </c>
      <c r="K52" s="139">
        <f t="shared" si="185"/>
        <v>0</v>
      </c>
      <c r="L52" s="139">
        <f t="shared" si="185"/>
        <v>0</v>
      </c>
      <c r="M52" s="132">
        <f>I52+J52+K52+L52</f>
        <v>0</v>
      </c>
      <c r="N52" s="136" t="str">
        <f>A52</f>
        <v>10.1.</v>
      </c>
      <c r="O52" s="137" t="str">
        <f t="shared" si="167"/>
        <v>Объем производства</v>
      </c>
      <c r="P52" s="138" t="str">
        <f t="shared" ref="P52:P58" si="186">C52</f>
        <v/>
      </c>
      <c r="Q52" s="139">
        <v>0</v>
      </c>
      <c r="R52" s="139">
        <f t="shared" ref="R52:T53" si="187">Q52</f>
        <v>0</v>
      </c>
      <c r="S52" s="139">
        <f t="shared" si="187"/>
        <v>0</v>
      </c>
      <c r="T52" s="139">
        <f t="shared" si="187"/>
        <v>0</v>
      </c>
      <c r="U52" s="132">
        <f>Q52+R52+S52+T52</f>
        <v>0</v>
      </c>
      <c r="V52" s="139">
        <f>T52</f>
        <v>0</v>
      </c>
      <c r="W52" s="139">
        <f t="shared" ref="W52:Y53" si="188">V52</f>
        <v>0</v>
      </c>
      <c r="X52" s="139">
        <f t="shared" si="188"/>
        <v>0</v>
      </c>
      <c r="Y52" s="139">
        <f t="shared" si="188"/>
        <v>0</v>
      </c>
      <c r="Z52" s="132">
        <f>V52+W52+X52+Y52</f>
        <v>0</v>
      </c>
      <c r="AA52" s="136" t="str">
        <f>N52</f>
        <v>10.1.</v>
      </c>
      <c r="AB52" s="137" t="str">
        <f t="shared" si="170"/>
        <v>Объем производства</v>
      </c>
      <c r="AC52" s="138" t="str">
        <f t="shared" ref="AC52:AC58" si="189">P52</f>
        <v/>
      </c>
      <c r="AD52" s="139">
        <v>0</v>
      </c>
      <c r="AE52" s="139">
        <f t="shared" ref="AE52:AG53" si="190">AD52</f>
        <v>0</v>
      </c>
      <c r="AF52" s="139">
        <f t="shared" si="190"/>
        <v>0</v>
      </c>
      <c r="AG52" s="139">
        <f t="shared" si="190"/>
        <v>0</v>
      </c>
      <c r="AH52" s="132">
        <f>AD52+AE52+AF52+AG52</f>
        <v>0</v>
      </c>
      <c r="AI52" s="139">
        <f>AG52</f>
        <v>0</v>
      </c>
      <c r="AJ52" s="139">
        <f t="shared" ref="AJ52:AL53" si="191">AI52</f>
        <v>0</v>
      </c>
      <c r="AK52" s="139">
        <f t="shared" si="191"/>
        <v>0</v>
      </c>
      <c r="AL52" s="139">
        <f t="shared" si="191"/>
        <v>0</v>
      </c>
      <c r="AM52" s="135">
        <f>AI52+AJ52+AK52+AL52</f>
        <v>0</v>
      </c>
      <c r="AN52" s="136" t="str">
        <f>AA52</f>
        <v>10.1.</v>
      </c>
      <c r="AO52" s="137" t="str">
        <f t="shared" si="173"/>
        <v>Объем производства</v>
      </c>
      <c r="AP52" s="138" t="str">
        <f t="shared" ref="AP52:AP58" si="192">AC52</f>
        <v/>
      </c>
      <c r="AQ52" s="139">
        <f>AL52</f>
        <v>0</v>
      </c>
      <c r="AR52" s="139">
        <f t="shared" ref="AR52:AT53" si="193">AQ52</f>
        <v>0</v>
      </c>
      <c r="AS52" s="139">
        <f t="shared" si="193"/>
        <v>0</v>
      </c>
      <c r="AT52" s="139">
        <f t="shared" si="193"/>
        <v>0</v>
      </c>
      <c r="AU52" s="132">
        <f>AQ52+AR52+AS52+AT52</f>
        <v>0</v>
      </c>
      <c r="AV52" s="139">
        <f>AT52</f>
        <v>0</v>
      </c>
      <c r="AW52" s="139">
        <f t="shared" ref="AW52:AY53" si="194">AV52</f>
        <v>0</v>
      </c>
      <c r="AX52" s="139">
        <f t="shared" si="194"/>
        <v>0</v>
      </c>
      <c r="AY52" s="139">
        <f t="shared" si="194"/>
        <v>0</v>
      </c>
      <c r="AZ52" s="135">
        <f>AV52+AW52+AX52+AY52</f>
        <v>0</v>
      </c>
    </row>
    <row r="53" spans="1:52" ht="12.6" customHeight="1">
      <c r="A53" s="136" t="s">
        <v>134</v>
      </c>
      <c r="B53" s="137" t="s">
        <v>107</v>
      </c>
      <c r="C53" s="138" t="s">
        <v>108</v>
      </c>
      <c r="D53" s="132">
        <f>'Исходные данные'!C98</f>
        <v>0</v>
      </c>
      <c r="E53" s="132">
        <f t="shared" si="184"/>
        <v>0</v>
      </c>
      <c r="F53" s="132">
        <f t="shared" si="184"/>
        <v>0</v>
      </c>
      <c r="G53" s="132">
        <f t="shared" si="184"/>
        <v>0</v>
      </c>
      <c r="H53" s="132">
        <v>0</v>
      </c>
      <c r="I53" s="132">
        <f>G53</f>
        <v>0</v>
      </c>
      <c r="J53" s="132">
        <f t="shared" si="185"/>
        <v>0</v>
      </c>
      <c r="K53" s="132">
        <f t="shared" si="185"/>
        <v>0</v>
      </c>
      <c r="L53" s="132">
        <f t="shared" si="185"/>
        <v>0</v>
      </c>
      <c r="M53" s="132">
        <f>L53</f>
        <v>0</v>
      </c>
      <c r="N53" s="140" t="str">
        <f>A53</f>
        <v>10.2.</v>
      </c>
      <c r="O53" s="137" t="str">
        <f t="shared" si="167"/>
        <v>Цена реализации</v>
      </c>
      <c r="P53" s="138" t="str">
        <f t="shared" si="186"/>
        <v>тыс. руб.</v>
      </c>
      <c r="Q53" s="132">
        <f>M53</f>
        <v>0</v>
      </c>
      <c r="R53" s="132">
        <f t="shared" si="187"/>
        <v>0</v>
      </c>
      <c r="S53" s="132">
        <f t="shared" si="187"/>
        <v>0</v>
      </c>
      <c r="T53" s="132">
        <f t="shared" si="187"/>
        <v>0</v>
      </c>
      <c r="U53" s="132">
        <f>T53</f>
        <v>0</v>
      </c>
      <c r="V53" s="132">
        <f>T53</f>
        <v>0</v>
      </c>
      <c r="W53" s="132">
        <f t="shared" si="188"/>
        <v>0</v>
      </c>
      <c r="X53" s="132">
        <f t="shared" si="188"/>
        <v>0</v>
      </c>
      <c r="Y53" s="132">
        <f t="shared" si="188"/>
        <v>0</v>
      </c>
      <c r="Z53" s="132">
        <f>Y53</f>
        <v>0</v>
      </c>
      <c r="AA53" s="140" t="str">
        <f>N53</f>
        <v>10.2.</v>
      </c>
      <c r="AB53" s="137" t="str">
        <f t="shared" si="170"/>
        <v>Цена реализации</v>
      </c>
      <c r="AC53" s="138" t="str">
        <f t="shared" si="189"/>
        <v>тыс. руб.</v>
      </c>
      <c r="AD53" s="132">
        <f>Z53</f>
        <v>0</v>
      </c>
      <c r="AE53" s="132">
        <f t="shared" si="190"/>
        <v>0</v>
      </c>
      <c r="AF53" s="132">
        <f t="shared" si="190"/>
        <v>0</v>
      </c>
      <c r="AG53" s="132">
        <f t="shared" si="190"/>
        <v>0</v>
      </c>
      <c r="AH53" s="132">
        <f>AG53</f>
        <v>0</v>
      </c>
      <c r="AI53" s="132">
        <f>AG53</f>
        <v>0</v>
      </c>
      <c r="AJ53" s="132">
        <f t="shared" si="191"/>
        <v>0</v>
      </c>
      <c r="AK53" s="132">
        <f t="shared" si="191"/>
        <v>0</v>
      </c>
      <c r="AL53" s="132">
        <f t="shared" si="191"/>
        <v>0</v>
      </c>
      <c r="AM53" s="135">
        <f>AL53</f>
        <v>0</v>
      </c>
      <c r="AN53" s="140" t="str">
        <f>AA53</f>
        <v>10.2.</v>
      </c>
      <c r="AO53" s="137" t="str">
        <f t="shared" si="173"/>
        <v>Цена реализации</v>
      </c>
      <c r="AP53" s="138" t="str">
        <f t="shared" si="192"/>
        <v>тыс. руб.</v>
      </c>
      <c r="AQ53" s="132">
        <f>AM53</f>
        <v>0</v>
      </c>
      <c r="AR53" s="132">
        <f t="shared" si="193"/>
        <v>0</v>
      </c>
      <c r="AS53" s="132">
        <f t="shared" si="193"/>
        <v>0</v>
      </c>
      <c r="AT53" s="132">
        <f t="shared" si="193"/>
        <v>0</v>
      </c>
      <c r="AU53" s="132">
        <f>AT53</f>
        <v>0</v>
      </c>
      <c r="AV53" s="132">
        <f>AT53</f>
        <v>0</v>
      </c>
      <c r="AW53" s="132">
        <f t="shared" si="194"/>
        <v>0</v>
      </c>
      <c r="AX53" s="132">
        <f t="shared" si="194"/>
        <v>0</v>
      </c>
      <c r="AY53" s="132">
        <f t="shared" si="194"/>
        <v>0</v>
      </c>
      <c r="AZ53" s="135">
        <f>AY53</f>
        <v>0</v>
      </c>
    </row>
    <row r="54" spans="1:52" ht="12.6" customHeight="1">
      <c r="A54" s="140" t="s">
        <v>135</v>
      </c>
      <c r="B54" s="137" t="s">
        <v>109</v>
      </c>
      <c r="C54" s="138" t="s">
        <v>108</v>
      </c>
      <c r="D54" s="132">
        <f>D52*D53</f>
        <v>0</v>
      </c>
      <c r="E54" s="132">
        <f>E52*E53</f>
        <v>0</v>
      </c>
      <c r="F54" s="132">
        <f>F52*F53</f>
        <v>0</v>
      </c>
      <c r="G54" s="132">
        <f>G52*G53</f>
        <v>0</v>
      </c>
      <c r="H54" s="141">
        <f>D54+E54+F54+G54</f>
        <v>0</v>
      </c>
      <c r="I54" s="132">
        <f>I52*I53</f>
        <v>0</v>
      </c>
      <c r="J54" s="132">
        <f>J52*J53</f>
        <v>0</v>
      </c>
      <c r="K54" s="132">
        <f>K52*K53</f>
        <v>0</v>
      </c>
      <c r="L54" s="132">
        <f>L52*L53</f>
        <v>0</v>
      </c>
      <c r="M54" s="141">
        <f>I54+J54+K54+L54</f>
        <v>0</v>
      </c>
      <c r="N54" s="140" t="str">
        <f>A54</f>
        <v>10.3.</v>
      </c>
      <c r="O54" s="137" t="str">
        <f t="shared" si="167"/>
        <v>Выручка от реализации, в т.ч.:</v>
      </c>
      <c r="P54" s="138" t="str">
        <f t="shared" si="186"/>
        <v>тыс. руб.</v>
      </c>
      <c r="Q54" s="132">
        <f>Q52*Q53</f>
        <v>0</v>
      </c>
      <c r="R54" s="132">
        <f>R52*R53</f>
        <v>0</v>
      </c>
      <c r="S54" s="132">
        <f>S52*S53</f>
        <v>0</v>
      </c>
      <c r="T54" s="132">
        <f>T52*T53</f>
        <v>0</v>
      </c>
      <c r="U54" s="141">
        <f>Q54+R54+S54+T54</f>
        <v>0</v>
      </c>
      <c r="V54" s="132">
        <f>V52*V53</f>
        <v>0</v>
      </c>
      <c r="W54" s="132">
        <f>W52*W53</f>
        <v>0</v>
      </c>
      <c r="X54" s="132">
        <f>X52*X53</f>
        <v>0</v>
      </c>
      <c r="Y54" s="132">
        <f>Y52*Y53</f>
        <v>0</v>
      </c>
      <c r="Z54" s="141">
        <f>V54+W54+X54+Y54</f>
        <v>0</v>
      </c>
      <c r="AA54" s="140" t="str">
        <f>N54</f>
        <v>10.3.</v>
      </c>
      <c r="AB54" s="137" t="str">
        <f t="shared" si="170"/>
        <v>Выручка от реализации, в т.ч.:</v>
      </c>
      <c r="AC54" s="138" t="str">
        <f t="shared" si="189"/>
        <v>тыс. руб.</v>
      </c>
      <c r="AD54" s="132">
        <f>AD52*AD53</f>
        <v>0</v>
      </c>
      <c r="AE54" s="132">
        <f>AE52*AE53</f>
        <v>0</v>
      </c>
      <c r="AF54" s="132">
        <f>AF52*AF53</f>
        <v>0</v>
      </c>
      <c r="AG54" s="132">
        <f>AG52*AG53</f>
        <v>0</v>
      </c>
      <c r="AH54" s="141">
        <f>AD54+AE54+AF54+AG54</f>
        <v>0</v>
      </c>
      <c r="AI54" s="132">
        <f>AI52*AI53</f>
        <v>0</v>
      </c>
      <c r="AJ54" s="132">
        <f>AJ52*AJ53</f>
        <v>0</v>
      </c>
      <c r="AK54" s="132">
        <f>AK52*AK53</f>
        <v>0</v>
      </c>
      <c r="AL54" s="132">
        <f>AL52*AL53</f>
        <v>0</v>
      </c>
      <c r="AM54" s="142">
        <f>AI54+AJ54+AK54+AL54</f>
        <v>0</v>
      </c>
      <c r="AN54" s="140" t="str">
        <f>AA54</f>
        <v>10.3.</v>
      </c>
      <c r="AO54" s="137" t="str">
        <f t="shared" si="173"/>
        <v>Выручка от реализации, в т.ч.:</v>
      </c>
      <c r="AP54" s="138" t="str">
        <f t="shared" si="192"/>
        <v>тыс. руб.</v>
      </c>
      <c r="AQ54" s="132">
        <f>AQ52*AQ53</f>
        <v>0</v>
      </c>
      <c r="AR54" s="132">
        <f>AR52*AR53</f>
        <v>0</v>
      </c>
      <c r="AS54" s="132">
        <f>AS52*AS53</f>
        <v>0</v>
      </c>
      <c r="AT54" s="132">
        <f>AT52*AT53</f>
        <v>0</v>
      </c>
      <c r="AU54" s="141">
        <f>AQ54+AR54+AS54+AT54</f>
        <v>0</v>
      </c>
      <c r="AV54" s="132">
        <f>AV52*AV53</f>
        <v>0</v>
      </c>
      <c r="AW54" s="132">
        <f>AW52*AW53</f>
        <v>0</v>
      </c>
      <c r="AX54" s="132">
        <f>AX52*AX53</f>
        <v>0</v>
      </c>
      <c r="AY54" s="132">
        <f>AY52*AY53</f>
        <v>0</v>
      </c>
      <c r="AZ54" s="142">
        <f>AV54+AW54+AX54+AY54</f>
        <v>0</v>
      </c>
    </row>
    <row r="55" spans="1:52" ht="12.6" customHeight="1">
      <c r="A55" s="143"/>
      <c r="B55" s="137" t="s">
        <v>110</v>
      </c>
      <c r="C55" s="138" t="s">
        <v>108</v>
      </c>
      <c r="D55" s="132">
        <f>D54/118*18</f>
        <v>0</v>
      </c>
      <c r="E55" s="132">
        <f>E54/118*18</f>
        <v>0</v>
      </c>
      <c r="F55" s="132">
        <f>F54/118*18</f>
        <v>0</v>
      </c>
      <c r="G55" s="132">
        <f>G54/118*18</f>
        <v>0</v>
      </c>
      <c r="H55" s="141">
        <f>D55+E55+F55+G55</f>
        <v>0</v>
      </c>
      <c r="I55" s="132">
        <f>I54/118*18</f>
        <v>0</v>
      </c>
      <c r="J55" s="132">
        <f>J54/118*18</f>
        <v>0</v>
      </c>
      <c r="K55" s="132">
        <f>K54/118*18</f>
        <v>0</v>
      </c>
      <c r="L55" s="132">
        <f>L54/118*18</f>
        <v>0</v>
      </c>
      <c r="M55" s="141">
        <f>I55+J55+K55+L55</f>
        <v>0</v>
      </c>
      <c r="N55" s="143"/>
      <c r="O55" s="137" t="str">
        <f t="shared" si="167"/>
        <v xml:space="preserve">   НДС</v>
      </c>
      <c r="P55" s="138" t="str">
        <f t="shared" si="186"/>
        <v>тыс. руб.</v>
      </c>
      <c r="Q55" s="132">
        <f>Q54/118*18</f>
        <v>0</v>
      </c>
      <c r="R55" s="132">
        <f>R54/118*18</f>
        <v>0</v>
      </c>
      <c r="S55" s="132">
        <f>S54/118*18</f>
        <v>0</v>
      </c>
      <c r="T55" s="132">
        <f>T54/118*18</f>
        <v>0</v>
      </c>
      <c r="U55" s="141">
        <f>Q55+R55+S55+T55</f>
        <v>0</v>
      </c>
      <c r="V55" s="132">
        <f>V54/118*18</f>
        <v>0</v>
      </c>
      <c r="W55" s="132">
        <f>W54/118*18</f>
        <v>0</v>
      </c>
      <c r="X55" s="132">
        <f>X54/118*18</f>
        <v>0</v>
      </c>
      <c r="Y55" s="132">
        <f>Y54/118*18</f>
        <v>0</v>
      </c>
      <c r="Z55" s="141">
        <f>V55+W55+X55+Y55</f>
        <v>0</v>
      </c>
      <c r="AA55" s="143"/>
      <c r="AB55" s="137" t="str">
        <f t="shared" si="170"/>
        <v xml:space="preserve">   НДС</v>
      </c>
      <c r="AC55" s="138" t="str">
        <f t="shared" si="189"/>
        <v>тыс. руб.</v>
      </c>
      <c r="AD55" s="132">
        <f>AD54/118*18</f>
        <v>0</v>
      </c>
      <c r="AE55" s="132">
        <f>AE54/118*18</f>
        <v>0</v>
      </c>
      <c r="AF55" s="132">
        <f>AF54/118*18</f>
        <v>0</v>
      </c>
      <c r="AG55" s="132">
        <f>AG54/118*18</f>
        <v>0</v>
      </c>
      <c r="AH55" s="141">
        <f>AD55+AE55+AF55+AG55</f>
        <v>0</v>
      </c>
      <c r="AI55" s="132">
        <f>AI54/118*18</f>
        <v>0</v>
      </c>
      <c r="AJ55" s="132">
        <f>AJ54/118*18</f>
        <v>0</v>
      </c>
      <c r="AK55" s="132">
        <f>AK54/118*18</f>
        <v>0</v>
      </c>
      <c r="AL55" s="132">
        <f>AL54/118*18</f>
        <v>0</v>
      </c>
      <c r="AM55" s="142">
        <f>AI55+AJ55+AK55+AL55</f>
        <v>0</v>
      </c>
      <c r="AN55" s="143"/>
      <c r="AO55" s="137" t="str">
        <f t="shared" si="173"/>
        <v xml:space="preserve">   НДС</v>
      </c>
      <c r="AP55" s="138" t="str">
        <f t="shared" si="192"/>
        <v>тыс. руб.</v>
      </c>
      <c r="AQ55" s="132">
        <f>AQ54/118*18</f>
        <v>0</v>
      </c>
      <c r="AR55" s="132">
        <f>AR54/118*18</f>
        <v>0</v>
      </c>
      <c r="AS55" s="132">
        <f>AS54/118*18</f>
        <v>0</v>
      </c>
      <c r="AT55" s="132">
        <f>AT54/118*18</f>
        <v>0</v>
      </c>
      <c r="AU55" s="141">
        <f>AQ55+AR55+AS55+AT55</f>
        <v>0</v>
      </c>
      <c r="AV55" s="132">
        <f>AV54/118*18</f>
        <v>0</v>
      </c>
      <c r="AW55" s="132">
        <f>AW54/118*18</f>
        <v>0</v>
      </c>
      <c r="AX55" s="132">
        <f>AX54/118*18</f>
        <v>0</v>
      </c>
      <c r="AY55" s="132">
        <f>AY54/118*18</f>
        <v>0</v>
      </c>
      <c r="AZ55" s="142">
        <f>AV55+AW55+AX55+AY55</f>
        <v>0</v>
      </c>
    </row>
    <row r="56" spans="1:52" ht="40.5" customHeight="1">
      <c r="A56" s="322">
        <f>A51+1</f>
        <v>7</v>
      </c>
      <c r="B56" s="130" t="s">
        <v>136</v>
      </c>
      <c r="C56" s="138" t="s">
        <v>108</v>
      </c>
      <c r="D56" s="132">
        <f>D9+D14+D19+D24+D29+D34+D39+D44+D49+D54</f>
        <v>0</v>
      </c>
      <c r="E56" s="132">
        <f>E9+E14+E19+E24+E29+E34+E39+E44+E49+E54</f>
        <v>0</v>
      </c>
      <c r="F56" s="132">
        <f>F9+F14+F19+F24+F29+F34+F39+F44+F49+F54</f>
        <v>0</v>
      </c>
      <c r="G56" s="132">
        <f>G9+G14+G19+G24+G29+G34+G39+G44+G49+G54</f>
        <v>0</v>
      </c>
      <c r="H56" s="141">
        <f>D56+E56+F56+G56</f>
        <v>0</v>
      </c>
      <c r="I56" s="132">
        <f>I9+I14+I19+I24+I29+I34+I39+I44+I49+I54</f>
        <v>59544</v>
      </c>
      <c r="J56" s="132">
        <f>J9+J14+J19+J24+J29+J34+J39+J44+J49+J54</f>
        <v>59544</v>
      </c>
      <c r="K56" s="132">
        <f>K9+K14+K19+K24+K29+K34+K39+K44+K49+K54</f>
        <v>59544</v>
      </c>
      <c r="L56" s="132">
        <f>L9+L14+L19+L24+L29+L34+L39+L44+L49+L54</f>
        <v>59544</v>
      </c>
      <c r="M56" s="141">
        <f>I56+J56+K56+L56</f>
        <v>238176</v>
      </c>
      <c r="N56" s="322">
        <f>A56</f>
        <v>7</v>
      </c>
      <c r="O56" s="130" t="str">
        <f t="shared" si="167"/>
        <v>Общая выручка от реализации всех видов продукции, в т.ч.:</v>
      </c>
      <c r="P56" s="138" t="str">
        <f t="shared" si="186"/>
        <v>тыс. руб.</v>
      </c>
      <c r="Q56" s="132">
        <f>Q9+Q14+Q19+Q24+Q29+Q34+Q39+Q44+Q49+Q54</f>
        <v>59544</v>
      </c>
      <c r="R56" s="132">
        <f>R9+R14+R19+R24+R29+R34+R39+R44+R49+R54</f>
        <v>59544</v>
      </c>
      <c r="S56" s="132">
        <f>S9+S14+S19+S24+S29+S34+S39+S44+S49+S54</f>
        <v>59544</v>
      </c>
      <c r="T56" s="132">
        <f>T9+T14+T19+T24+T29+T34+T39+T44+T49+T54</f>
        <v>59544</v>
      </c>
      <c r="U56" s="141">
        <f>Q56+R56+S56+T56</f>
        <v>238176</v>
      </c>
      <c r="V56" s="132">
        <f>V9+V14+V19+V24+V29+V34+V39+V44+V49+V54</f>
        <v>59544</v>
      </c>
      <c r="W56" s="132">
        <f>W9+W14+W19+W24+W29+W34+W39+W44+W49+W54</f>
        <v>59544</v>
      </c>
      <c r="X56" s="132">
        <f>X9+X14+X19+X24+X29+X34+X39+X44+X49+X54</f>
        <v>59544</v>
      </c>
      <c r="Y56" s="132">
        <f>Y9+Y14+Y19+Y24+Y29+Y34+Y39+Y44+Y49+Y54</f>
        <v>59544</v>
      </c>
      <c r="Z56" s="141">
        <f>V56+W56+X56+Y56</f>
        <v>238176</v>
      </c>
      <c r="AA56" s="313">
        <f>N56</f>
        <v>7</v>
      </c>
      <c r="AB56" s="137" t="str">
        <f t="shared" si="170"/>
        <v>Общая выручка от реализации всех видов продукции, в т.ч.:</v>
      </c>
      <c r="AC56" s="138" t="str">
        <f t="shared" si="189"/>
        <v>тыс. руб.</v>
      </c>
      <c r="AD56" s="132">
        <f>AD9+AD14+AD19+AD24+AD29+AD34+AD39+AD44+AD49+AD54</f>
        <v>59544</v>
      </c>
      <c r="AE56" s="132">
        <f>AE9+AE14+AE19+AE24+AE29+AE34+AE39+AE44+AE49+AE54</f>
        <v>59544</v>
      </c>
      <c r="AF56" s="132">
        <f>AF9+AF14+AF19+AF24+AF29+AF34+AF39+AF44+AF49+AF54</f>
        <v>59544</v>
      </c>
      <c r="AG56" s="132">
        <f>AG9+AG14+AG19+AG24+AG29+AG34+AG39+AG44+AG49+AG54</f>
        <v>59544</v>
      </c>
      <c r="AH56" s="141">
        <f>AD56+AE56+AF56+AG56</f>
        <v>238176</v>
      </c>
      <c r="AI56" s="132">
        <f>AI9+AI14+AI19+AI24+AI29+AI34+AI39+AI44+AI49+AI54</f>
        <v>59544</v>
      </c>
      <c r="AJ56" s="132">
        <f>AJ9+AJ14+AJ19+AJ24+AJ29+AJ34+AJ39+AJ44+AJ49+AJ54</f>
        <v>59544</v>
      </c>
      <c r="AK56" s="132">
        <f>AK9+AK14+AK19+AK24+AK29+AK34+AK39+AK44+AK49+AK54</f>
        <v>59544</v>
      </c>
      <c r="AL56" s="132">
        <f>AL9+AL14+AL19+AL24+AL29+AL34+AL39+AL44+AL49+AL54</f>
        <v>59544</v>
      </c>
      <c r="AM56" s="135">
        <f>AI56+AJ56+AK56+AL56</f>
        <v>238176</v>
      </c>
      <c r="AN56" s="313">
        <f>AA56</f>
        <v>7</v>
      </c>
      <c r="AO56" s="137" t="str">
        <f t="shared" si="173"/>
        <v>Общая выручка от реализации всех видов продукции, в т.ч.:</v>
      </c>
      <c r="AP56" s="138" t="str">
        <f t="shared" si="192"/>
        <v>тыс. руб.</v>
      </c>
      <c r="AQ56" s="132">
        <f>AQ9+AQ14+AQ19+AQ24+AQ29+AQ34+AQ39+AQ44+AQ49+AQ54</f>
        <v>59544</v>
      </c>
      <c r="AR56" s="132">
        <f>AR9+AR14+AR19+AR24+AR29+AR34+AR39+AR44+AR49+AR54</f>
        <v>59544</v>
      </c>
      <c r="AS56" s="132">
        <f>AS9+AS14+AS19+AS24+AS29+AS34+AS39+AS44+AS49+AS54</f>
        <v>59544</v>
      </c>
      <c r="AT56" s="132">
        <f>AT9+AT14+AT19+AT24+AT29+AT34+AT39+AT44+AT49+AT54</f>
        <v>59544</v>
      </c>
      <c r="AU56" s="141">
        <f>AQ56+AR56+AS56+AT56</f>
        <v>238176</v>
      </c>
      <c r="AV56" s="132">
        <f>AV9+AV14+AV19+AV24+AV29+AV34+AV39+AV44+AV49+AV54</f>
        <v>59544</v>
      </c>
      <c r="AW56" s="132">
        <f>AW9+AW14+AW19+AW24+AW29+AW34+AW39+AW44+AW49+AW54</f>
        <v>59544</v>
      </c>
      <c r="AX56" s="132">
        <f>AX9+AX14+AX19+AX24+AX29+AX34+AX39+AX44+AX49+AX54</f>
        <v>59544</v>
      </c>
      <c r="AY56" s="132">
        <f>AY9+AY14+AY19+AY24+AY29+AY34+AY39+AY44+AY49+AY54</f>
        <v>59544</v>
      </c>
      <c r="AZ56" s="135">
        <f>AV56+AW56+AX56+AY56</f>
        <v>238176</v>
      </c>
    </row>
    <row r="57" spans="1:52" ht="12.6" customHeight="1">
      <c r="A57" s="323"/>
      <c r="B57" s="137" t="s">
        <v>110</v>
      </c>
      <c r="C57" s="138" t="s">
        <v>108</v>
      </c>
      <c r="D57" s="132">
        <f>D56/118*18</f>
        <v>0</v>
      </c>
      <c r="E57" s="132">
        <f>E56/118*18</f>
        <v>0</v>
      </c>
      <c r="F57" s="132">
        <f>F56/118*18</f>
        <v>0</v>
      </c>
      <c r="G57" s="132">
        <f>G56/118*18</f>
        <v>0</v>
      </c>
      <c r="H57" s="132">
        <f>D57+E57+F57+G57</f>
        <v>0</v>
      </c>
      <c r="I57" s="132">
        <f>I56/120*20</f>
        <v>9924</v>
      </c>
      <c r="J57" s="132">
        <f>J56/120*20</f>
        <v>9924</v>
      </c>
      <c r="K57" s="132">
        <f>K56/120*20</f>
        <v>9924</v>
      </c>
      <c r="L57" s="132">
        <f>L56/120*20</f>
        <v>9924</v>
      </c>
      <c r="M57" s="132">
        <f>I57+J57+K57+L57</f>
        <v>39696</v>
      </c>
      <c r="N57" s="323"/>
      <c r="O57" s="137" t="str">
        <f t="shared" si="167"/>
        <v xml:space="preserve">   НДС</v>
      </c>
      <c r="P57" s="138" t="str">
        <f t="shared" si="186"/>
        <v>тыс. руб.</v>
      </c>
      <c r="Q57" s="132">
        <f>Q56/118*18</f>
        <v>9082.983050847457</v>
      </c>
      <c r="R57" s="132">
        <f>R56/118*18</f>
        <v>9082.983050847457</v>
      </c>
      <c r="S57" s="132">
        <f>S56/118*18</f>
        <v>9082.983050847457</v>
      </c>
      <c r="T57" s="132">
        <f>T56/118*18</f>
        <v>9082.983050847457</v>
      </c>
      <c r="U57" s="132">
        <f>Q57+R57+S57+T57</f>
        <v>36331.932203389828</v>
      </c>
      <c r="V57" s="132">
        <f>V56/118*18</f>
        <v>9082.983050847457</v>
      </c>
      <c r="W57" s="132">
        <f>W56/118*18</f>
        <v>9082.983050847457</v>
      </c>
      <c r="X57" s="132">
        <f>X56/118*18</f>
        <v>9082.983050847457</v>
      </c>
      <c r="Y57" s="132">
        <f>Y56/118*18</f>
        <v>9082.983050847457</v>
      </c>
      <c r="Z57" s="132">
        <f>V57+W57+X57+Y57</f>
        <v>36331.932203389828</v>
      </c>
      <c r="AA57" s="314"/>
      <c r="AB57" s="137" t="str">
        <f t="shared" si="170"/>
        <v xml:space="preserve">   НДС</v>
      </c>
      <c r="AC57" s="138" t="str">
        <f t="shared" si="189"/>
        <v>тыс. руб.</v>
      </c>
      <c r="AD57" s="132">
        <f>AD56/118*18</f>
        <v>9082.983050847457</v>
      </c>
      <c r="AE57" s="132">
        <f>AE56/118*18</f>
        <v>9082.983050847457</v>
      </c>
      <c r="AF57" s="132">
        <f>AF56/118*18</f>
        <v>9082.983050847457</v>
      </c>
      <c r="AG57" s="132">
        <f>AG56/118*18</f>
        <v>9082.983050847457</v>
      </c>
      <c r="AH57" s="132">
        <f>AD57+AE57+AF57+AG57</f>
        <v>36331.932203389828</v>
      </c>
      <c r="AI57" s="132">
        <f>AI56/118*18</f>
        <v>9082.983050847457</v>
      </c>
      <c r="AJ57" s="132">
        <f>AJ56/118*18</f>
        <v>9082.983050847457</v>
      </c>
      <c r="AK57" s="132">
        <f>AK56/118*18</f>
        <v>9082.983050847457</v>
      </c>
      <c r="AL57" s="132">
        <f>AL56/118*18</f>
        <v>9082.983050847457</v>
      </c>
      <c r="AM57" s="135">
        <f>AI57+AJ57+AK57+AL57</f>
        <v>36331.932203389828</v>
      </c>
      <c r="AN57" s="314"/>
      <c r="AO57" s="137" t="str">
        <f t="shared" si="173"/>
        <v xml:space="preserve">   НДС</v>
      </c>
      <c r="AP57" s="138" t="str">
        <f t="shared" si="192"/>
        <v>тыс. руб.</v>
      </c>
      <c r="AQ57" s="132">
        <f>AQ56/118*18</f>
        <v>9082.983050847457</v>
      </c>
      <c r="AR57" s="132">
        <f>AR56/118*18</f>
        <v>9082.983050847457</v>
      </c>
      <c r="AS57" s="132">
        <f>AS56/118*18</f>
        <v>9082.983050847457</v>
      </c>
      <c r="AT57" s="132">
        <f>AT56/118*18</f>
        <v>9082.983050847457</v>
      </c>
      <c r="AU57" s="132">
        <f>AQ57+AR57+AS57+AT57</f>
        <v>36331.932203389828</v>
      </c>
      <c r="AV57" s="132">
        <f>AV56/118*18</f>
        <v>9082.983050847457</v>
      </c>
      <c r="AW57" s="132">
        <f>AW56/118*18</f>
        <v>9082.983050847457</v>
      </c>
      <c r="AX57" s="132">
        <f>AX56/118*18</f>
        <v>9082.983050847457</v>
      </c>
      <c r="AY57" s="132">
        <f>AY56/118*18</f>
        <v>9082.983050847457</v>
      </c>
      <c r="AZ57" s="135">
        <f>AV57+AW57+AX57+AY57</f>
        <v>36331.932203389828</v>
      </c>
    </row>
    <row r="58" spans="1:52" ht="12.6" customHeight="1">
      <c r="A58" s="133">
        <f>A56+1</f>
        <v>8</v>
      </c>
      <c r="B58" s="130" t="s">
        <v>137</v>
      </c>
      <c r="C58" s="138" t="s">
        <v>108</v>
      </c>
      <c r="D58" s="132">
        <f>D56-D57</f>
        <v>0</v>
      </c>
      <c r="E58" s="132">
        <f>E56-E57</f>
        <v>0</v>
      </c>
      <c r="F58" s="132">
        <f>F56-F57</f>
        <v>0</v>
      </c>
      <c r="G58" s="132">
        <f>G56-G57</f>
        <v>0</v>
      </c>
      <c r="H58" s="141">
        <f>D58+E58+F58+G58</f>
        <v>0</v>
      </c>
      <c r="I58" s="132">
        <f>I56-I57</f>
        <v>49620</v>
      </c>
      <c r="J58" s="132">
        <f>J56-J57</f>
        <v>49620</v>
      </c>
      <c r="K58" s="132">
        <f>K56-K57</f>
        <v>49620</v>
      </c>
      <c r="L58" s="132">
        <f>L56-L57</f>
        <v>49620</v>
      </c>
      <c r="M58" s="141">
        <f>I58+J58+K58+L58</f>
        <v>198480</v>
      </c>
      <c r="N58" s="133">
        <f>A58</f>
        <v>8</v>
      </c>
      <c r="O58" s="130" t="str">
        <f t="shared" si="167"/>
        <v>Чистая выручка</v>
      </c>
      <c r="P58" s="138" t="str">
        <f t="shared" si="186"/>
        <v>тыс. руб.</v>
      </c>
      <c r="Q58" s="132">
        <f>Q56-Q57</f>
        <v>50461.016949152545</v>
      </c>
      <c r="R58" s="132">
        <f>R56-R57</f>
        <v>50461.016949152545</v>
      </c>
      <c r="S58" s="132">
        <f>S56-S57</f>
        <v>50461.016949152545</v>
      </c>
      <c r="T58" s="132">
        <f>T56-T57</f>
        <v>50461.016949152545</v>
      </c>
      <c r="U58" s="141">
        <f>Q58+R58+S58+T58</f>
        <v>201844.06779661018</v>
      </c>
      <c r="V58" s="132">
        <f>V56-V57</f>
        <v>50461.016949152545</v>
      </c>
      <c r="W58" s="132">
        <f>W56-W57</f>
        <v>50461.016949152545</v>
      </c>
      <c r="X58" s="132">
        <f>X56-X57</f>
        <v>50461.016949152545</v>
      </c>
      <c r="Y58" s="132">
        <f>Y56-Y57</f>
        <v>50461.016949152545</v>
      </c>
      <c r="Z58" s="141">
        <f>V58+W58+X58+Y58</f>
        <v>201844.06779661018</v>
      </c>
      <c r="AA58" s="145">
        <f>N58</f>
        <v>8</v>
      </c>
      <c r="AB58" s="137" t="str">
        <f t="shared" si="170"/>
        <v>Чистая выручка</v>
      </c>
      <c r="AC58" s="138" t="str">
        <f t="shared" si="189"/>
        <v>тыс. руб.</v>
      </c>
      <c r="AD58" s="132">
        <f>AD56-AD57</f>
        <v>50461.016949152545</v>
      </c>
      <c r="AE58" s="132">
        <f>AE56-AE57</f>
        <v>50461.016949152545</v>
      </c>
      <c r="AF58" s="132">
        <f>AF56-AF57</f>
        <v>50461.016949152545</v>
      </c>
      <c r="AG58" s="132">
        <f>AG56-AG57</f>
        <v>50461.016949152545</v>
      </c>
      <c r="AH58" s="141">
        <f>AD58+AE58+AF58+AG58</f>
        <v>201844.06779661018</v>
      </c>
      <c r="AI58" s="132">
        <f>AI56-AI57</f>
        <v>50461.016949152545</v>
      </c>
      <c r="AJ58" s="132">
        <f>AJ56-AJ57</f>
        <v>50461.016949152545</v>
      </c>
      <c r="AK58" s="132">
        <f>AK56-AK57</f>
        <v>50461.016949152545</v>
      </c>
      <c r="AL58" s="132">
        <f>AL56-AL57</f>
        <v>50461.016949152545</v>
      </c>
      <c r="AM58" s="135">
        <f>AI58+AJ58+AK58+AL58</f>
        <v>201844.06779661018</v>
      </c>
      <c r="AN58" s="145">
        <f>AA58</f>
        <v>8</v>
      </c>
      <c r="AO58" s="137" t="str">
        <f t="shared" si="173"/>
        <v>Чистая выручка</v>
      </c>
      <c r="AP58" s="138" t="str">
        <f t="shared" si="192"/>
        <v>тыс. руб.</v>
      </c>
      <c r="AQ58" s="132">
        <f>AQ56-AQ57</f>
        <v>50461.016949152545</v>
      </c>
      <c r="AR58" s="132">
        <f>AR56-AR57</f>
        <v>50461.016949152545</v>
      </c>
      <c r="AS58" s="132">
        <f>AS56-AS57</f>
        <v>50461.016949152545</v>
      </c>
      <c r="AT58" s="132">
        <f>AT56-AT57</f>
        <v>50461.016949152545</v>
      </c>
      <c r="AU58" s="141">
        <f>AQ58+AR58+AS58+AT58</f>
        <v>201844.06779661018</v>
      </c>
      <c r="AV58" s="132">
        <f>AV56-AV57</f>
        <v>50461.016949152545</v>
      </c>
      <c r="AW58" s="132">
        <f>AW56-AW57</f>
        <v>50461.016949152545</v>
      </c>
      <c r="AX58" s="132">
        <f>AX56-AX57</f>
        <v>50461.016949152545</v>
      </c>
      <c r="AY58" s="132">
        <f>AY56-AY57</f>
        <v>50461.016949152545</v>
      </c>
      <c r="AZ58" s="135">
        <f>AV58+AW58+AX58+AY58</f>
        <v>201844.06779661018</v>
      </c>
    </row>
    <row r="59" spans="1:52" ht="1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</row>
    <row r="60" spans="1:52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9">
        <v>1</v>
      </c>
      <c r="N60" s="2"/>
      <c r="O60" s="2"/>
      <c r="P60" s="2"/>
      <c r="Q60" s="2"/>
      <c r="R60" s="2"/>
      <c r="S60" s="2"/>
      <c r="T60" s="2"/>
      <c r="U60" s="39">
        <v>2</v>
      </c>
      <c r="V60" s="2"/>
      <c r="W60" s="2"/>
      <c r="X60" s="2"/>
      <c r="Y60" s="2"/>
      <c r="Z60" s="39">
        <v>3</v>
      </c>
      <c r="AA60" s="2"/>
      <c r="AB60" s="2"/>
      <c r="AC60" s="2"/>
      <c r="AD60" s="2"/>
      <c r="AE60" s="2"/>
      <c r="AF60" s="2"/>
      <c r="AG60" s="2"/>
      <c r="AH60" s="39">
        <v>4</v>
      </c>
      <c r="AI60" s="2"/>
      <c r="AJ60" s="2"/>
      <c r="AK60" s="2"/>
      <c r="AL60" s="2"/>
      <c r="AM60" s="39">
        <v>5</v>
      </c>
      <c r="AN60" s="2"/>
      <c r="AO60" s="2"/>
      <c r="AP60" s="2"/>
      <c r="AQ60" s="2"/>
      <c r="AR60" s="2"/>
      <c r="AS60" s="2"/>
      <c r="AT60" s="2"/>
      <c r="AU60" s="39">
        <v>6</v>
      </c>
      <c r="AV60" s="2"/>
      <c r="AW60" s="2"/>
      <c r="AX60" s="2"/>
      <c r="AY60" s="2"/>
      <c r="AZ60" s="39">
        <v>7</v>
      </c>
    </row>
    <row r="61" spans="1:52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46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146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146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146"/>
    </row>
  </sheetData>
  <mergeCells count="32">
    <mergeCell ref="A56:A57"/>
    <mergeCell ref="AA1:AM1"/>
    <mergeCell ref="AA2:AM2"/>
    <mergeCell ref="AA3:AA4"/>
    <mergeCell ref="AB3:AB4"/>
    <mergeCell ref="AC3:AC4"/>
    <mergeCell ref="AD3:AH3"/>
    <mergeCell ref="AI3:AM3"/>
    <mergeCell ref="AA56:AA57"/>
    <mergeCell ref="A1:M1"/>
    <mergeCell ref="A2:M2"/>
    <mergeCell ref="A3:A4"/>
    <mergeCell ref="B3:B4"/>
    <mergeCell ref="C3:C4"/>
    <mergeCell ref="D3:H3"/>
    <mergeCell ref="I3:M3"/>
    <mergeCell ref="N56:N57"/>
    <mergeCell ref="N1:Z1"/>
    <mergeCell ref="N2:Z2"/>
    <mergeCell ref="N3:N4"/>
    <mergeCell ref="O3:O4"/>
    <mergeCell ref="P3:P4"/>
    <mergeCell ref="Q3:U3"/>
    <mergeCell ref="V3:Z3"/>
    <mergeCell ref="AN56:AN57"/>
    <mergeCell ref="AN1:AZ1"/>
    <mergeCell ref="AP3:AP4"/>
    <mergeCell ref="AQ3:AU3"/>
    <mergeCell ref="AV3:AZ3"/>
    <mergeCell ref="AN2:AZ2"/>
    <mergeCell ref="AN3:AN4"/>
    <mergeCell ref="AO3:AO4"/>
  </mergeCells>
  <pageMargins left="0.78740200000000005" right="0.78740200000000005" top="1.1811" bottom="0.59055100000000005" header="0.51181100000000002" footer="0.51181100000000002"/>
  <pageSetup scale="71" orientation="landscape" r:id="rId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topLeftCell="A2" zoomScale="90" zoomScaleNormal="90" workbookViewId="0">
      <selection activeCell="J13" sqref="J13"/>
    </sheetView>
  </sheetViews>
  <sheetFormatPr defaultColWidth="9" defaultRowHeight="13.2" customHeight="1"/>
  <cols>
    <col min="1" max="1" width="4.5546875" style="147" customWidth="1"/>
    <col min="2" max="2" width="33.5546875" style="147" customWidth="1"/>
    <col min="3" max="7" width="9" style="147" customWidth="1"/>
    <col min="8" max="8" width="9.109375" style="147" customWidth="1"/>
    <col min="9" max="12" width="9" style="147" customWidth="1"/>
    <col min="13" max="13" width="4.5546875" style="147" customWidth="1"/>
    <col min="14" max="14" width="33.5546875" style="147" customWidth="1"/>
    <col min="15" max="19" width="9" style="147" customWidth="1"/>
    <col min="20" max="23" width="9.109375" style="147" customWidth="1"/>
    <col min="24" max="24" width="9.88671875" style="147" customWidth="1"/>
    <col min="25" max="25" width="4.5546875" style="147" customWidth="1"/>
    <col min="26" max="26" width="33.5546875" style="147" customWidth="1"/>
    <col min="27" max="30" width="9.109375" style="147" customWidth="1"/>
    <col min="31" max="31" width="9.88671875" style="147" customWidth="1"/>
    <col min="32" max="35" width="9.109375" style="147" customWidth="1"/>
    <col min="36" max="36" width="9.88671875" style="147" customWidth="1"/>
    <col min="37" max="37" width="4.5546875" style="147" customWidth="1"/>
    <col min="38" max="38" width="31" style="147" customWidth="1"/>
    <col min="39" max="42" width="9.109375" style="147" customWidth="1"/>
    <col min="43" max="43" width="9.88671875" style="147" customWidth="1"/>
    <col min="44" max="47" width="9.109375" style="147" customWidth="1"/>
    <col min="48" max="48" width="9.88671875" style="147" customWidth="1"/>
    <col min="49" max="256" width="9" style="147" customWidth="1"/>
  </cols>
  <sheetData>
    <row r="1" spans="1:48" ht="13.5" customHeight="1">
      <c r="A1" s="285" t="s">
        <v>138</v>
      </c>
      <c r="B1" s="286"/>
      <c r="C1" s="287"/>
      <c r="D1" s="287"/>
      <c r="E1" s="287"/>
      <c r="F1" s="287"/>
      <c r="G1" s="287"/>
      <c r="H1" s="286"/>
      <c r="I1" s="287"/>
      <c r="J1" s="287"/>
      <c r="K1" s="287"/>
      <c r="L1" s="287"/>
      <c r="M1" s="285" t="s">
        <v>139</v>
      </c>
      <c r="N1" s="286"/>
      <c r="O1" s="287"/>
      <c r="P1" s="287"/>
      <c r="Q1" s="287"/>
      <c r="R1" s="287"/>
      <c r="S1" s="287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5" t="s">
        <v>140</v>
      </c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</row>
    <row r="2" spans="1:48" ht="13.5" customHeight="1">
      <c r="A2" s="288" t="s">
        <v>141</v>
      </c>
      <c r="B2" s="289"/>
      <c r="C2" s="290"/>
      <c r="D2" s="290"/>
      <c r="E2" s="290"/>
      <c r="F2" s="290"/>
      <c r="G2" s="290"/>
      <c r="H2" s="289"/>
      <c r="I2" s="290"/>
      <c r="J2" s="290"/>
      <c r="K2" s="290"/>
      <c r="L2" s="290"/>
      <c r="M2" s="289"/>
      <c r="N2" s="289"/>
      <c r="O2" s="290"/>
      <c r="P2" s="290"/>
      <c r="Q2" s="290"/>
      <c r="R2" s="290"/>
      <c r="S2" s="290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</row>
    <row r="3" spans="1:48" ht="12.75" customHeight="1">
      <c r="A3" s="293" t="s">
        <v>53</v>
      </c>
      <c r="B3" s="293" t="s">
        <v>104</v>
      </c>
      <c r="C3" s="298" t="str">
        <f>'Исходные данные'!$B$26+G24&amp;" год"</f>
        <v>2021 год</v>
      </c>
      <c r="D3" s="299"/>
      <c r="E3" s="299"/>
      <c r="F3" s="299"/>
      <c r="G3" s="300"/>
      <c r="H3" s="298" t="str">
        <f>'Исходные данные'!$B$26+L24&amp;" год"</f>
        <v>2022 год</v>
      </c>
      <c r="I3" s="299"/>
      <c r="J3" s="299"/>
      <c r="K3" s="299"/>
      <c r="L3" s="300"/>
      <c r="M3" s="293" t="s">
        <v>53</v>
      </c>
      <c r="N3" s="293" t="s">
        <v>104</v>
      </c>
      <c r="O3" s="298" t="str">
        <f>'Исходные данные'!$B$26+S24&amp;" год"</f>
        <v>2023 год</v>
      </c>
      <c r="P3" s="299"/>
      <c r="Q3" s="299"/>
      <c r="R3" s="299"/>
      <c r="S3" s="300"/>
      <c r="T3" s="298" t="str">
        <f>'Исходные данные'!$B$26+X24&amp;" год"</f>
        <v>2024 год</v>
      </c>
      <c r="U3" s="299"/>
      <c r="V3" s="299"/>
      <c r="W3" s="299"/>
      <c r="X3" s="300"/>
      <c r="Y3" s="293" t="s">
        <v>53</v>
      </c>
      <c r="Z3" s="293" t="s">
        <v>104</v>
      </c>
      <c r="AA3" s="298" t="str">
        <f>'Исходные данные'!$B$26+AE24&amp;" год"</f>
        <v>2025 год</v>
      </c>
      <c r="AB3" s="299"/>
      <c r="AC3" s="299"/>
      <c r="AD3" s="299"/>
      <c r="AE3" s="300"/>
      <c r="AF3" s="298" t="str">
        <f>'Исходные данные'!$B$26+AJ24&amp;" год"</f>
        <v>2026 год</v>
      </c>
      <c r="AG3" s="299"/>
      <c r="AH3" s="299"/>
      <c r="AI3" s="299"/>
      <c r="AJ3" s="300"/>
      <c r="AK3" s="293" t="s">
        <v>53</v>
      </c>
      <c r="AL3" s="293" t="s">
        <v>104</v>
      </c>
      <c r="AM3" s="298" t="str">
        <f>'Исходные данные'!$B$26+AQ24&amp;" год"</f>
        <v>2027 год</v>
      </c>
      <c r="AN3" s="299"/>
      <c r="AO3" s="299"/>
      <c r="AP3" s="299"/>
      <c r="AQ3" s="300"/>
      <c r="AR3" s="298" t="str">
        <f>'Исходные данные'!$B$26+AV24&amp;" год"</f>
        <v>2028 год</v>
      </c>
      <c r="AS3" s="299"/>
      <c r="AT3" s="299"/>
      <c r="AU3" s="299"/>
      <c r="AV3" s="300"/>
    </row>
    <row r="4" spans="1:48" ht="13.5" customHeight="1">
      <c r="A4" s="294"/>
      <c r="B4" s="294"/>
      <c r="C4" s="110" t="s">
        <v>58</v>
      </c>
      <c r="D4" s="110" t="s">
        <v>59</v>
      </c>
      <c r="E4" s="110" t="s">
        <v>60</v>
      </c>
      <c r="F4" s="110" t="s">
        <v>61</v>
      </c>
      <c r="G4" s="110" t="s">
        <v>62</v>
      </c>
      <c r="H4" s="110" t="s">
        <v>58</v>
      </c>
      <c r="I4" s="110" t="s">
        <v>59</v>
      </c>
      <c r="J4" s="110" t="s">
        <v>60</v>
      </c>
      <c r="K4" s="110" t="s">
        <v>61</v>
      </c>
      <c r="L4" s="110" t="s">
        <v>62</v>
      </c>
      <c r="M4" s="294"/>
      <c r="N4" s="294"/>
      <c r="O4" s="110" t="s">
        <v>58</v>
      </c>
      <c r="P4" s="110" t="s">
        <v>59</v>
      </c>
      <c r="Q4" s="110" t="s">
        <v>60</v>
      </c>
      <c r="R4" s="110" t="s">
        <v>61</v>
      </c>
      <c r="S4" s="110" t="s">
        <v>62</v>
      </c>
      <c r="T4" s="110" t="s">
        <v>58</v>
      </c>
      <c r="U4" s="110" t="s">
        <v>59</v>
      </c>
      <c r="V4" s="110" t="s">
        <v>60</v>
      </c>
      <c r="W4" s="110" t="s">
        <v>61</v>
      </c>
      <c r="X4" s="110" t="s">
        <v>62</v>
      </c>
      <c r="Y4" s="294"/>
      <c r="Z4" s="294"/>
      <c r="AA4" s="110" t="s">
        <v>58</v>
      </c>
      <c r="AB4" s="110" t="s">
        <v>59</v>
      </c>
      <c r="AC4" s="110" t="s">
        <v>60</v>
      </c>
      <c r="AD4" s="110" t="s">
        <v>61</v>
      </c>
      <c r="AE4" s="110" t="s">
        <v>62</v>
      </c>
      <c r="AF4" s="110" t="s">
        <v>58</v>
      </c>
      <c r="AG4" s="110" t="s">
        <v>59</v>
      </c>
      <c r="AH4" s="110" t="s">
        <v>60</v>
      </c>
      <c r="AI4" s="110" t="s">
        <v>61</v>
      </c>
      <c r="AJ4" s="110" t="s">
        <v>62</v>
      </c>
      <c r="AK4" s="294"/>
      <c r="AL4" s="294"/>
      <c r="AM4" s="110" t="s">
        <v>58</v>
      </c>
      <c r="AN4" s="110" t="s">
        <v>59</v>
      </c>
      <c r="AO4" s="110" t="s">
        <v>60</v>
      </c>
      <c r="AP4" s="110" t="s">
        <v>61</v>
      </c>
      <c r="AQ4" s="110" t="s">
        <v>62</v>
      </c>
      <c r="AR4" s="110" t="s">
        <v>58</v>
      </c>
      <c r="AS4" s="110" t="s">
        <v>59</v>
      </c>
      <c r="AT4" s="110" t="s">
        <v>60</v>
      </c>
      <c r="AU4" s="110" t="s">
        <v>61</v>
      </c>
      <c r="AV4" s="110" t="s">
        <v>62</v>
      </c>
    </row>
    <row r="5" spans="1:48" ht="13.5" customHeight="1">
      <c r="A5" s="75">
        <v>1</v>
      </c>
      <c r="B5" s="75">
        <v>2</v>
      </c>
      <c r="C5" s="76">
        <v>3</v>
      </c>
      <c r="D5" s="76">
        <f t="shared" ref="D5:L5" si="0">C5+1</f>
        <v>4</v>
      </c>
      <c r="E5" s="76">
        <f t="shared" si="0"/>
        <v>5</v>
      </c>
      <c r="F5" s="76">
        <f t="shared" si="0"/>
        <v>6</v>
      </c>
      <c r="G5" s="76">
        <f t="shared" si="0"/>
        <v>7</v>
      </c>
      <c r="H5" s="75">
        <f t="shared" si="0"/>
        <v>8</v>
      </c>
      <c r="I5" s="76">
        <f t="shared" si="0"/>
        <v>9</v>
      </c>
      <c r="J5" s="76">
        <f t="shared" si="0"/>
        <v>10</v>
      </c>
      <c r="K5" s="76">
        <f t="shared" si="0"/>
        <v>11</v>
      </c>
      <c r="L5" s="76">
        <f t="shared" si="0"/>
        <v>12</v>
      </c>
      <c r="M5" s="75">
        <v>1</v>
      </c>
      <c r="N5" s="75">
        <v>2</v>
      </c>
      <c r="O5" s="76">
        <f>L5+1</f>
        <v>13</v>
      </c>
      <c r="P5" s="76">
        <f t="shared" ref="P5:X5" si="1">O5+1</f>
        <v>14</v>
      </c>
      <c r="Q5" s="76">
        <f t="shared" si="1"/>
        <v>15</v>
      </c>
      <c r="R5" s="76">
        <f t="shared" si="1"/>
        <v>16</v>
      </c>
      <c r="S5" s="76">
        <f t="shared" si="1"/>
        <v>17</v>
      </c>
      <c r="T5" s="75">
        <f t="shared" si="1"/>
        <v>18</v>
      </c>
      <c r="U5" s="75">
        <f t="shared" si="1"/>
        <v>19</v>
      </c>
      <c r="V5" s="75">
        <f t="shared" si="1"/>
        <v>20</v>
      </c>
      <c r="W5" s="75">
        <f t="shared" si="1"/>
        <v>21</v>
      </c>
      <c r="X5" s="75">
        <f t="shared" si="1"/>
        <v>22</v>
      </c>
      <c r="Y5" s="77"/>
      <c r="Z5" s="75">
        <v>2</v>
      </c>
      <c r="AA5" s="75">
        <f>X5+1</f>
        <v>23</v>
      </c>
      <c r="AB5" s="75">
        <f t="shared" ref="AB5:AJ5" si="2">AA5+1</f>
        <v>24</v>
      </c>
      <c r="AC5" s="75">
        <f t="shared" si="2"/>
        <v>25</v>
      </c>
      <c r="AD5" s="75">
        <f t="shared" si="2"/>
        <v>26</v>
      </c>
      <c r="AE5" s="75">
        <f t="shared" si="2"/>
        <v>27</v>
      </c>
      <c r="AF5" s="75">
        <f t="shared" si="2"/>
        <v>28</v>
      </c>
      <c r="AG5" s="75">
        <f t="shared" si="2"/>
        <v>29</v>
      </c>
      <c r="AH5" s="75">
        <f t="shared" si="2"/>
        <v>30</v>
      </c>
      <c r="AI5" s="75">
        <f t="shared" si="2"/>
        <v>31</v>
      </c>
      <c r="AJ5" s="75">
        <f t="shared" si="2"/>
        <v>32</v>
      </c>
      <c r="AK5" s="77"/>
      <c r="AL5" s="75">
        <v>2</v>
      </c>
      <c r="AM5" s="75">
        <f>AJ5+1</f>
        <v>33</v>
      </c>
      <c r="AN5" s="75">
        <f t="shared" ref="AN5:AV5" si="3">AM5+1</f>
        <v>34</v>
      </c>
      <c r="AO5" s="75">
        <f t="shared" si="3"/>
        <v>35</v>
      </c>
      <c r="AP5" s="75">
        <f t="shared" si="3"/>
        <v>36</v>
      </c>
      <c r="AQ5" s="75">
        <f t="shared" si="3"/>
        <v>37</v>
      </c>
      <c r="AR5" s="75">
        <f t="shared" si="3"/>
        <v>38</v>
      </c>
      <c r="AS5" s="75">
        <f t="shared" si="3"/>
        <v>39</v>
      </c>
      <c r="AT5" s="75">
        <f t="shared" si="3"/>
        <v>40</v>
      </c>
      <c r="AU5" s="75">
        <f t="shared" si="3"/>
        <v>41</v>
      </c>
      <c r="AV5" s="75">
        <f t="shared" si="3"/>
        <v>42</v>
      </c>
    </row>
    <row r="6" spans="1:48" ht="24.6" customHeight="1">
      <c r="A6" s="111" t="s">
        <v>63</v>
      </c>
      <c r="B6" s="12" t="s">
        <v>142</v>
      </c>
      <c r="C6" s="148">
        <f>C7+C8+C9</f>
        <v>0</v>
      </c>
      <c r="D6" s="148">
        <f>D7+D8+D9</f>
        <v>0</v>
      </c>
      <c r="E6" s="148">
        <f>E7+E8+E9</f>
        <v>0</v>
      </c>
      <c r="F6" s="148">
        <f>F7+F8+F9</f>
        <v>0</v>
      </c>
      <c r="G6" s="148"/>
      <c r="H6" s="149">
        <f>H7+H8+H9</f>
        <v>59</v>
      </c>
      <c r="I6" s="148">
        <f>I7+I8+I9</f>
        <v>59</v>
      </c>
      <c r="J6" s="148">
        <f>J7+J8+J9</f>
        <v>59</v>
      </c>
      <c r="K6" s="148">
        <f>K7+K8+K9</f>
        <v>59</v>
      </c>
      <c r="L6" s="148"/>
      <c r="M6" s="111" t="s">
        <v>63</v>
      </c>
      <c r="N6" s="12" t="str">
        <f t="shared" ref="N6:N22" si="4">B6</f>
        <v>Численность работающих по проекту, всего:</v>
      </c>
      <c r="O6" s="148">
        <f>O7+O8+O9</f>
        <v>59</v>
      </c>
      <c r="P6" s="148">
        <f>P7+P8+P9</f>
        <v>59</v>
      </c>
      <c r="Q6" s="148">
        <f>Q7+Q8+Q9</f>
        <v>59</v>
      </c>
      <c r="R6" s="148">
        <f>R7+R8+R9</f>
        <v>59</v>
      </c>
      <c r="S6" s="148"/>
      <c r="T6" s="149">
        <f>T7+T8+T9</f>
        <v>59</v>
      </c>
      <c r="U6" s="149">
        <f>U7+U8+U9</f>
        <v>59</v>
      </c>
      <c r="V6" s="149">
        <f>V7+V8+V9</f>
        <v>59</v>
      </c>
      <c r="W6" s="149">
        <f>W7+W8+W9</f>
        <v>59</v>
      </c>
      <c r="X6" s="149"/>
      <c r="Y6" s="111" t="s">
        <v>63</v>
      </c>
      <c r="Z6" s="12" t="str">
        <f t="shared" ref="Z6:Z22" si="5">N6</f>
        <v>Численность работающих по проекту, всего:</v>
      </c>
      <c r="AA6" s="149">
        <f>AA7+AA8+AA9</f>
        <v>59</v>
      </c>
      <c r="AB6" s="149">
        <f>AB7+AB8+AB9</f>
        <v>59</v>
      </c>
      <c r="AC6" s="149">
        <f>AC7+AC8+AC9</f>
        <v>59</v>
      </c>
      <c r="AD6" s="149">
        <f>AD7+AD8+AD9</f>
        <v>59</v>
      </c>
      <c r="AE6" s="149"/>
      <c r="AF6" s="149">
        <f>AF7+AF8+AF9</f>
        <v>59</v>
      </c>
      <c r="AG6" s="149">
        <f>AG7+AG8+AG9</f>
        <v>59</v>
      </c>
      <c r="AH6" s="149">
        <f>AH7+AH8+AH9</f>
        <v>59</v>
      </c>
      <c r="AI6" s="149">
        <f>AI7+AI8+AI9</f>
        <v>59</v>
      </c>
      <c r="AJ6" s="149"/>
      <c r="AK6" s="111" t="s">
        <v>63</v>
      </c>
      <c r="AL6" s="12" t="str">
        <f t="shared" ref="AL6:AL22" si="6">Z6</f>
        <v>Численность работающих по проекту, всего:</v>
      </c>
      <c r="AM6" s="149">
        <f>AM7+AM8+AM9</f>
        <v>59</v>
      </c>
      <c r="AN6" s="149">
        <f>AN7+AN8+AN9</f>
        <v>59</v>
      </c>
      <c r="AO6" s="149">
        <f>AO7+AO8+AO9</f>
        <v>59</v>
      </c>
      <c r="AP6" s="149">
        <f>AP7+AP8+AP9</f>
        <v>59</v>
      </c>
      <c r="AQ6" s="149"/>
      <c r="AR6" s="149">
        <f>AR7+AR8+AR9</f>
        <v>59</v>
      </c>
      <c r="AS6" s="149">
        <f>AS7+AS8+AS9</f>
        <v>59</v>
      </c>
      <c r="AT6" s="149">
        <f>AT7+AT8+AT9</f>
        <v>59</v>
      </c>
      <c r="AU6" s="149">
        <f>AU7+AU8+AU9</f>
        <v>59</v>
      </c>
      <c r="AV6" s="149"/>
    </row>
    <row r="7" spans="1:48" ht="24.6" customHeight="1">
      <c r="A7" s="85" t="s">
        <v>86</v>
      </c>
      <c r="B7" s="59" t="s">
        <v>143</v>
      </c>
      <c r="C7" s="148">
        <v>0</v>
      </c>
      <c r="D7" s="148">
        <f t="shared" ref="D7:F9" si="7">C7</f>
        <v>0</v>
      </c>
      <c r="E7" s="148">
        <f t="shared" si="7"/>
        <v>0</v>
      </c>
      <c r="F7" s="148">
        <f t="shared" si="7"/>
        <v>0</v>
      </c>
      <c r="G7" s="148"/>
      <c r="H7" s="149">
        <f>'Исходные данные'!$C6</f>
        <v>22</v>
      </c>
      <c r="I7" s="149">
        <f>'Исходные данные'!$C6</f>
        <v>22</v>
      </c>
      <c r="J7" s="149">
        <f>'Исходные данные'!$C6</f>
        <v>22</v>
      </c>
      <c r="K7" s="149">
        <f>'Исходные данные'!$C6</f>
        <v>22</v>
      </c>
      <c r="L7" s="148"/>
      <c r="M7" s="85" t="s">
        <v>86</v>
      </c>
      <c r="N7" s="59" t="str">
        <f t="shared" si="4"/>
        <v>основной производственный персонал</v>
      </c>
      <c r="O7" s="148">
        <f>K7</f>
        <v>22</v>
      </c>
      <c r="P7" s="148">
        <f t="shared" ref="P7:R9" si="8">O7</f>
        <v>22</v>
      </c>
      <c r="Q7" s="148">
        <f t="shared" si="8"/>
        <v>22</v>
      </c>
      <c r="R7" s="148">
        <f t="shared" si="8"/>
        <v>22</v>
      </c>
      <c r="S7" s="148"/>
      <c r="T7" s="149">
        <f>R7</f>
        <v>22</v>
      </c>
      <c r="U7" s="149">
        <f t="shared" ref="U7:W9" si="9">T7</f>
        <v>22</v>
      </c>
      <c r="V7" s="149">
        <f t="shared" si="9"/>
        <v>22</v>
      </c>
      <c r="W7" s="149">
        <f t="shared" si="9"/>
        <v>22</v>
      </c>
      <c r="X7" s="149"/>
      <c r="Y7" s="85" t="s">
        <v>86</v>
      </c>
      <c r="Z7" s="59" t="str">
        <f t="shared" si="5"/>
        <v>основной производственный персонал</v>
      </c>
      <c r="AA7" s="149">
        <f>T7</f>
        <v>22</v>
      </c>
      <c r="AB7" s="149">
        <f>U7</f>
        <v>22</v>
      </c>
      <c r="AC7" s="149">
        <f>V7</f>
        <v>22</v>
      </c>
      <c r="AD7" s="149">
        <f>W7</f>
        <v>22</v>
      </c>
      <c r="AE7" s="149"/>
      <c r="AF7" s="149">
        <f>AA7</f>
        <v>22</v>
      </c>
      <c r="AG7" s="149">
        <f>AB7</f>
        <v>22</v>
      </c>
      <c r="AH7" s="149">
        <f>AC7</f>
        <v>22</v>
      </c>
      <c r="AI7" s="149">
        <f>AD7</f>
        <v>22</v>
      </c>
      <c r="AJ7" s="149"/>
      <c r="AK7" s="85" t="s">
        <v>86</v>
      </c>
      <c r="AL7" s="59" t="str">
        <f t="shared" si="6"/>
        <v>основной производственный персонал</v>
      </c>
      <c r="AM7" s="149">
        <f>AF7</f>
        <v>22</v>
      </c>
      <c r="AN7" s="149">
        <f>AG7</f>
        <v>22</v>
      </c>
      <c r="AO7" s="149">
        <f>AH7</f>
        <v>22</v>
      </c>
      <c r="AP7" s="149">
        <f>AI7</f>
        <v>22</v>
      </c>
      <c r="AQ7" s="149"/>
      <c r="AR7" s="149">
        <f>AM7</f>
        <v>22</v>
      </c>
      <c r="AS7" s="149">
        <f>AN7</f>
        <v>22</v>
      </c>
      <c r="AT7" s="149">
        <f>AO7</f>
        <v>22</v>
      </c>
      <c r="AU7" s="149">
        <f>AP7</f>
        <v>22</v>
      </c>
      <c r="AV7" s="149"/>
    </row>
    <row r="8" spans="1:48" ht="24.6" customHeight="1">
      <c r="A8" s="85" t="s">
        <v>88</v>
      </c>
      <c r="B8" s="59" t="s">
        <v>144</v>
      </c>
      <c r="C8" s="148">
        <v>0</v>
      </c>
      <c r="D8" s="148">
        <f t="shared" si="7"/>
        <v>0</v>
      </c>
      <c r="E8" s="148">
        <f t="shared" si="7"/>
        <v>0</v>
      </c>
      <c r="F8" s="148">
        <f t="shared" si="7"/>
        <v>0</v>
      </c>
      <c r="G8" s="148"/>
      <c r="H8" s="149">
        <f>'Исходные данные'!$C7</f>
        <v>24</v>
      </c>
      <c r="I8" s="148">
        <f>'Исходные данные'!$C7</f>
        <v>24</v>
      </c>
      <c r="J8" s="148">
        <f>'Исходные данные'!$C7</f>
        <v>24</v>
      </c>
      <c r="K8" s="148">
        <f>'Исходные данные'!$C7</f>
        <v>24</v>
      </c>
      <c r="L8" s="148"/>
      <c r="M8" s="85" t="s">
        <v>88</v>
      </c>
      <c r="N8" s="59" t="str">
        <f t="shared" si="4"/>
        <v>вспомогательный персонал (рабочие, служащие и ИТР)</v>
      </c>
      <c r="O8" s="148">
        <f>K8</f>
        <v>24</v>
      </c>
      <c r="P8" s="148">
        <f t="shared" si="8"/>
        <v>24</v>
      </c>
      <c r="Q8" s="148">
        <f t="shared" si="8"/>
        <v>24</v>
      </c>
      <c r="R8" s="148">
        <f t="shared" si="8"/>
        <v>24</v>
      </c>
      <c r="S8" s="148"/>
      <c r="T8" s="149">
        <f>R8</f>
        <v>24</v>
      </c>
      <c r="U8" s="149">
        <f t="shared" si="9"/>
        <v>24</v>
      </c>
      <c r="V8" s="149">
        <f t="shared" si="9"/>
        <v>24</v>
      </c>
      <c r="W8" s="149">
        <f t="shared" si="9"/>
        <v>24</v>
      </c>
      <c r="X8" s="149"/>
      <c r="Y8" s="85" t="s">
        <v>88</v>
      </c>
      <c r="Z8" s="59" t="str">
        <f t="shared" si="5"/>
        <v>вспомогательный персонал (рабочие, служащие и ИТР)</v>
      </c>
      <c r="AA8" s="149">
        <f>W8</f>
        <v>24</v>
      </c>
      <c r="AB8" s="149">
        <f t="shared" ref="AB8:AD9" si="10">AA8</f>
        <v>24</v>
      </c>
      <c r="AC8" s="149">
        <f t="shared" si="10"/>
        <v>24</v>
      </c>
      <c r="AD8" s="149">
        <f t="shared" si="10"/>
        <v>24</v>
      </c>
      <c r="AE8" s="149"/>
      <c r="AF8" s="149">
        <f>AD8</f>
        <v>24</v>
      </c>
      <c r="AG8" s="149">
        <f t="shared" ref="AG8:AI9" si="11">AF8</f>
        <v>24</v>
      </c>
      <c r="AH8" s="149">
        <f t="shared" si="11"/>
        <v>24</v>
      </c>
      <c r="AI8" s="149">
        <f t="shared" si="11"/>
        <v>24</v>
      </c>
      <c r="AJ8" s="149"/>
      <c r="AK8" s="85" t="s">
        <v>88</v>
      </c>
      <c r="AL8" s="59" t="str">
        <f t="shared" si="6"/>
        <v>вспомогательный персонал (рабочие, служащие и ИТР)</v>
      </c>
      <c r="AM8" s="149">
        <f>AI8</f>
        <v>24</v>
      </c>
      <c r="AN8" s="149">
        <f t="shared" ref="AN8:AP9" si="12">AM8</f>
        <v>24</v>
      </c>
      <c r="AO8" s="149">
        <f t="shared" si="12"/>
        <v>24</v>
      </c>
      <c r="AP8" s="149">
        <f t="shared" si="12"/>
        <v>24</v>
      </c>
      <c r="AQ8" s="149"/>
      <c r="AR8" s="149">
        <f>AP8</f>
        <v>24</v>
      </c>
      <c r="AS8" s="149">
        <f t="shared" ref="AS8:AU9" si="13">AR8</f>
        <v>24</v>
      </c>
      <c r="AT8" s="149">
        <f t="shared" si="13"/>
        <v>24</v>
      </c>
      <c r="AU8" s="149">
        <f t="shared" si="13"/>
        <v>24</v>
      </c>
      <c r="AV8" s="149"/>
    </row>
    <row r="9" spans="1:48" ht="24.6" customHeight="1">
      <c r="A9" s="85" t="s">
        <v>90</v>
      </c>
      <c r="B9" s="59" t="s">
        <v>145</v>
      </c>
      <c r="C9" s="148">
        <v>0</v>
      </c>
      <c r="D9" s="148">
        <f t="shared" si="7"/>
        <v>0</v>
      </c>
      <c r="E9" s="148">
        <f t="shared" si="7"/>
        <v>0</v>
      </c>
      <c r="F9" s="148">
        <f t="shared" si="7"/>
        <v>0</v>
      </c>
      <c r="G9" s="148"/>
      <c r="H9" s="149">
        <f>'Исходные данные'!$C8</f>
        <v>13</v>
      </c>
      <c r="I9" s="148">
        <f>'Исходные данные'!$C8</f>
        <v>13</v>
      </c>
      <c r="J9" s="148">
        <f>'Исходные данные'!$C8</f>
        <v>13</v>
      </c>
      <c r="K9" s="148">
        <f>'Исходные данные'!$C8</f>
        <v>13</v>
      </c>
      <c r="L9" s="148"/>
      <c r="M9" s="85" t="s">
        <v>90</v>
      </c>
      <c r="N9" s="59" t="str">
        <f t="shared" si="4"/>
        <v>административно-управленческий персонал</v>
      </c>
      <c r="O9" s="148">
        <f>K9</f>
        <v>13</v>
      </c>
      <c r="P9" s="148">
        <f t="shared" si="8"/>
        <v>13</v>
      </c>
      <c r="Q9" s="148">
        <f t="shared" si="8"/>
        <v>13</v>
      </c>
      <c r="R9" s="148">
        <f t="shared" si="8"/>
        <v>13</v>
      </c>
      <c r="S9" s="148"/>
      <c r="T9" s="149">
        <f>R9</f>
        <v>13</v>
      </c>
      <c r="U9" s="149">
        <f t="shared" si="9"/>
        <v>13</v>
      </c>
      <c r="V9" s="149">
        <f t="shared" si="9"/>
        <v>13</v>
      </c>
      <c r="W9" s="149">
        <f t="shared" si="9"/>
        <v>13</v>
      </c>
      <c r="X9" s="149"/>
      <c r="Y9" s="85" t="s">
        <v>90</v>
      </c>
      <c r="Z9" s="59" t="str">
        <f t="shared" si="5"/>
        <v>административно-управленческий персонал</v>
      </c>
      <c r="AA9" s="149">
        <f>W9</f>
        <v>13</v>
      </c>
      <c r="AB9" s="149">
        <f t="shared" si="10"/>
        <v>13</v>
      </c>
      <c r="AC9" s="149">
        <f t="shared" si="10"/>
        <v>13</v>
      </c>
      <c r="AD9" s="149">
        <f t="shared" si="10"/>
        <v>13</v>
      </c>
      <c r="AE9" s="149"/>
      <c r="AF9" s="149">
        <f>AD9</f>
        <v>13</v>
      </c>
      <c r="AG9" s="149">
        <f t="shared" si="11"/>
        <v>13</v>
      </c>
      <c r="AH9" s="149">
        <f t="shared" si="11"/>
        <v>13</v>
      </c>
      <c r="AI9" s="149">
        <f t="shared" si="11"/>
        <v>13</v>
      </c>
      <c r="AJ9" s="149"/>
      <c r="AK9" s="85" t="s">
        <v>90</v>
      </c>
      <c r="AL9" s="59" t="str">
        <f t="shared" si="6"/>
        <v>административно-управленческий персонал</v>
      </c>
      <c r="AM9" s="149">
        <f>AI9</f>
        <v>13</v>
      </c>
      <c r="AN9" s="149">
        <f t="shared" si="12"/>
        <v>13</v>
      </c>
      <c r="AO9" s="149">
        <f t="shared" si="12"/>
        <v>13</v>
      </c>
      <c r="AP9" s="149">
        <f t="shared" si="12"/>
        <v>13</v>
      </c>
      <c r="AQ9" s="149"/>
      <c r="AR9" s="149">
        <f>AP9</f>
        <v>13</v>
      </c>
      <c r="AS9" s="149">
        <f t="shared" si="13"/>
        <v>13</v>
      </c>
      <c r="AT9" s="149">
        <f t="shared" si="13"/>
        <v>13</v>
      </c>
      <c r="AU9" s="149">
        <f t="shared" si="13"/>
        <v>13</v>
      </c>
      <c r="AV9" s="149"/>
    </row>
    <row r="10" spans="1:48" ht="13.5" customHeight="1">
      <c r="A10" s="329" t="s">
        <v>68</v>
      </c>
      <c r="B10" s="12" t="s">
        <v>146</v>
      </c>
      <c r="C10" s="81">
        <f>C11+C12</f>
        <v>0</v>
      </c>
      <c r="D10" s="81">
        <f>D11+D12</f>
        <v>0</v>
      </c>
      <c r="E10" s="81">
        <f>E11+E12</f>
        <v>0</v>
      </c>
      <c r="F10" s="81">
        <f>F11+F12</f>
        <v>0</v>
      </c>
      <c r="G10" s="115">
        <f t="shared" ref="G10:G22" si="14">C10+D10+E10+F10</f>
        <v>0</v>
      </c>
      <c r="H10" s="80">
        <f>H11+H12</f>
        <v>6952.68</v>
      </c>
      <c r="I10" s="81">
        <f>I11+I12</f>
        <v>6952.68</v>
      </c>
      <c r="J10" s="81">
        <f>J11+J12</f>
        <v>6952.68</v>
      </c>
      <c r="K10" s="81">
        <f>K11+K12</f>
        <v>6952.68</v>
      </c>
      <c r="L10" s="115">
        <f t="shared" ref="L10:L22" si="15">H10+I10+J10+K10</f>
        <v>27810.720000000001</v>
      </c>
      <c r="M10" s="329" t="s">
        <v>68</v>
      </c>
      <c r="N10" s="12" t="str">
        <f t="shared" si="4"/>
        <v>Расходы на оплату труда, в т.ч.:</v>
      </c>
      <c r="O10" s="81">
        <f>O11+O12</f>
        <v>6952.68</v>
      </c>
      <c r="P10" s="81">
        <f>P11+P12</f>
        <v>6952.68</v>
      </c>
      <c r="Q10" s="81">
        <f>Q11+Q12</f>
        <v>6952.68</v>
      </c>
      <c r="R10" s="81">
        <f>R11+R12</f>
        <v>6952.68</v>
      </c>
      <c r="S10" s="115">
        <f t="shared" ref="S10:S22" si="16">O10+P10+Q10+R10</f>
        <v>27810.720000000001</v>
      </c>
      <c r="T10" s="80">
        <f>T11+T12</f>
        <v>6952.68</v>
      </c>
      <c r="U10" s="80">
        <f>U11+U12</f>
        <v>6952.68</v>
      </c>
      <c r="V10" s="80">
        <f>V11+V12</f>
        <v>6952.68</v>
      </c>
      <c r="W10" s="80">
        <f>W11+W12</f>
        <v>6952.68</v>
      </c>
      <c r="X10" s="82">
        <f t="shared" ref="X10:X22" si="17">T10+U10+V10+W10</f>
        <v>27810.720000000001</v>
      </c>
      <c r="Y10" s="329" t="s">
        <v>68</v>
      </c>
      <c r="Z10" s="12" t="str">
        <f t="shared" si="5"/>
        <v>Расходы на оплату труда, в т.ч.:</v>
      </c>
      <c r="AA10" s="80">
        <f>AA11+AA12</f>
        <v>6952.68</v>
      </c>
      <c r="AB10" s="80">
        <f>AB11+AB12</f>
        <v>6952.68</v>
      </c>
      <c r="AC10" s="80">
        <f>AC11+AC12</f>
        <v>6952.68</v>
      </c>
      <c r="AD10" s="80">
        <f>AD11+AD12</f>
        <v>6952.68</v>
      </c>
      <c r="AE10" s="82">
        <f t="shared" ref="AE10:AE22" si="18">AA10+AB10+AC10+AD10</f>
        <v>27810.720000000001</v>
      </c>
      <c r="AF10" s="80">
        <f>AF11+AF12</f>
        <v>6952.68</v>
      </c>
      <c r="AG10" s="80">
        <f>AG11+AG12</f>
        <v>6952.68</v>
      </c>
      <c r="AH10" s="80">
        <f>AH11+AH12</f>
        <v>6952.68</v>
      </c>
      <c r="AI10" s="80">
        <f>AI11+AI12</f>
        <v>6952.68</v>
      </c>
      <c r="AJ10" s="82">
        <f t="shared" ref="AJ10:AJ22" si="19">AF10+AG10+AH10+AI10</f>
        <v>27810.720000000001</v>
      </c>
      <c r="AK10" s="329" t="s">
        <v>68</v>
      </c>
      <c r="AL10" s="12" t="str">
        <f t="shared" si="6"/>
        <v>Расходы на оплату труда, в т.ч.:</v>
      </c>
      <c r="AM10" s="80">
        <f>AM11+AM12</f>
        <v>6952.68</v>
      </c>
      <c r="AN10" s="80">
        <f>AN11+AN12</f>
        <v>6952.68</v>
      </c>
      <c r="AO10" s="80">
        <f>AO11+AO12</f>
        <v>6952.68</v>
      </c>
      <c r="AP10" s="80">
        <f>AP11+AP12</f>
        <v>6952.68</v>
      </c>
      <c r="AQ10" s="82">
        <f t="shared" ref="AQ10:AQ22" si="20">AM10+AN10+AO10+AP10</f>
        <v>27810.720000000001</v>
      </c>
      <c r="AR10" s="80">
        <f>AR11+AR12</f>
        <v>6952.68</v>
      </c>
      <c r="AS10" s="80">
        <f>AS11+AS12</f>
        <v>6952.68</v>
      </c>
      <c r="AT10" s="80">
        <f>AT11+AT12</f>
        <v>6952.68</v>
      </c>
      <c r="AU10" s="80">
        <f>AU11+AU12</f>
        <v>6952.68</v>
      </c>
      <c r="AV10" s="82">
        <f t="shared" ref="AV10:AV22" si="21">AR10+AS10+AT10+AU10</f>
        <v>27810.720000000001</v>
      </c>
    </row>
    <row r="11" spans="1:48" ht="13.5" customHeight="1">
      <c r="A11" s="330"/>
      <c r="B11" s="59" t="s">
        <v>147</v>
      </c>
      <c r="C11" s="81">
        <f t="shared" ref="C11:F12" si="22">C14+C17+C20</f>
        <v>0</v>
      </c>
      <c r="D11" s="81">
        <f t="shared" si="22"/>
        <v>0</v>
      </c>
      <c r="E11" s="81">
        <f t="shared" si="22"/>
        <v>0</v>
      </c>
      <c r="F11" s="81">
        <f t="shared" si="22"/>
        <v>0</v>
      </c>
      <c r="G11" s="81">
        <f t="shared" si="14"/>
        <v>0</v>
      </c>
      <c r="H11" s="80">
        <f t="shared" ref="H11:K12" si="23">H14+H17+H20</f>
        <v>5340</v>
      </c>
      <c r="I11" s="81">
        <f t="shared" si="23"/>
        <v>5340</v>
      </c>
      <c r="J11" s="81">
        <f t="shared" si="23"/>
        <v>5340</v>
      </c>
      <c r="K11" s="81">
        <f t="shared" si="23"/>
        <v>5340</v>
      </c>
      <c r="L11" s="81">
        <f t="shared" si="15"/>
        <v>21360</v>
      </c>
      <c r="M11" s="330"/>
      <c r="N11" s="59" t="str">
        <f t="shared" si="4"/>
        <v xml:space="preserve">   заработная плата </v>
      </c>
      <c r="O11" s="81">
        <f t="shared" ref="O11:R12" si="24">O14+O17+O20</f>
        <v>5340</v>
      </c>
      <c r="P11" s="81">
        <f t="shared" si="24"/>
        <v>5340</v>
      </c>
      <c r="Q11" s="81">
        <f t="shared" si="24"/>
        <v>5340</v>
      </c>
      <c r="R11" s="81">
        <f t="shared" si="24"/>
        <v>5340</v>
      </c>
      <c r="S11" s="81">
        <f t="shared" si="16"/>
        <v>21360</v>
      </c>
      <c r="T11" s="80">
        <f t="shared" ref="T11:W12" si="25">T14+T17+T20</f>
        <v>5340</v>
      </c>
      <c r="U11" s="80">
        <f t="shared" si="25"/>
        <v>5340</v>
      </c>
      <c r="V11" s="80">
        <f t="shared" si="25"/>
        <v>5340</v>
      </c>
      <c r="W11" s="80">
        <f t="shared" si="25"/>
        <v>5340</v>
      </c>
      <c r="X11" s="80">
        <f t="shared" si="17"/>
        <v>21360</v>
      </c>
      <c r="Y11" s="330"/>
      <c r="Z11" s="59" t="str">
        <f t="shared" si="5"/>
        <v xml:space="preserve">   заработная плата </v>
      </c>
      <c r="AA11" s="80">
        <f t="shared" ref="AA11:AD12" si="26">AA14+AA17+AA20</f>
        <v>5340</v>
      </c>
      <c r="AB11" s="80">
        <f t="shared" si="26"/>
        <v>5340</v>
      </c>
      <c r="AC11" s="80">
        <f t="shared" si="26"/>
        <v>5340</v>
      </c>
      <c r="AD11" s="80">
        <f t="shared" si="26"/>
        <v>5340</v>
      </c>
      <c r="AE11" s="80">
        <f t="shared" si="18"/>
        <v>21360</v>
      </c>
      <c r="AF11" s="80">
        <f t="shared" ref="AF11:AI12" si="27">AF14+AF17+AF20</f>
        <v>5340</v>
      </c>
      <c r="AG11" s="80">
        <f t="shared" si="27"/>
        <v>5340</v>
      </c>
      <c r="AH11" s="80">
        <f t="shared" si="27"/>
        <v>5340</v>
      </c>
      <c r="AI11" s="80">
        <f t="shared" si="27"/>
        <v>5340</v>
      </c>
      <c r="AJ11" s="80">
        <f t="shared" si="19"/>
        <v>21360</v>
      </c>
      <c r="AK11" s="330"/>
      <c r="AL11" s="59" t="str">
        <f t="shared" si="6"/>
        <v xml:space="preserve">   заработная плата </v>
      </c>
      <c r="AM11" s="80">
        <f t="shared" ref="AM11:AP12" si="28">AM14+AM17+AM20</f>
        <v>5340</v>
      </c>
      <c r="AN11" s="80">
        <f t="shared" si="28"/>
        <v>5340</v>
      </c>
      <c r="AO11" s="80">
        <f t="shared" si="28"/>
        <v>5340</v>
      </c>
      <c r="AP11" s="80">
        <f t="shared" si="28"/>
        <v>5340</v>
      </c>
      <c r="AQ11" s="80">
        <f t="shared" si="20"/>
        <v>21360</v>
      </c>
      <c r="AR11" s="80">
        <f t="shared" ref="AR11:AU12" si="29">AR14+AR17+AR20</f>
        <v>5340</v>
      </c>
      <c r="AS11" s="80">
        <f t="shared" si="29"/>
        <v>5340</v>
      </c>
      <c r="AT11" s="80">
        <f t="shared" si="29"/>
        <v>5340</v>
      </c>
      <c r="AU11" s="80">
        <f t="shared" si="29"/>
        <v>5340</v>
      </c>
      <c r="AV11" s="80">
        <f t="shared" si="21"/>
        <v>21360</v>
      </c>
    </row>
    <row r="12" spans="1:48" ht="24.6" customHeight="1">
      <c r="A12" s="331"/>
      <c r="B12" s="59" t="s">
        <v>148</v>
      </c>
      <c r="C12" s="81">
        <f t="shared" si="22"/>
        <v>0</v>
      </c>
      <c r="D12" s="81">
        <f t="shared" si="22"/>
        <v>0</v>
      </c>
      <c r="E12" s="81">
        <f t="shared" si="22"/>
        <v>0</v>
      </c>
      <c r="F12" s="81">
        <f t="shared" si="22"/>
        <v>0</v>
      </c>
      <c r="G12" s="81">
        <f t="shared" si="14"/>
        <v>0</v>
      </c>
      <c r="H12" s="80">
        <f t="shared" si="23"/>
        <v>1612.6799999999998</v>
      </c>
      <c r="I12" s="81">
        <f t="shared" si="23"/>
        <v>1612.6799999999998</v>
      </c>
      <c r="J12" s="81">
        <f t="shared" si="23"/>
        <v>1612.6799999999998</v>
      </c>
      <c r="K12" s="81">
        <f t="shared" si="23"/>
        <v>1612.6799999999998</v>
      </c>
      <c r="L12" s="81">
        <f t="shared" si="15"/>
        <v>6450.7199999999993</v>
      </c>
      <c r="M12" s="331"/>
      <c r="N12" s="59" t="str">
        <f t="shared" si="4"/>
        <v xml:space="preserve">   страховые взносы в ПФ РФ, ФСС РФ, ФФОМС, ТФОМС</v>
      </c>
      <c r="O12" s="81">
        <f t="shared" si="24"/>
        <v>1612.6799999999998</v>
      </c>
      <c r="P12" s="81">
        <f t="shared" si="24"/>
        <v>1612.6799999999998</v>
      </c>
      <c r="Q12" s="81">
        <f t="shared" si="24"/>
        <v>1612.6799999999998</v>
      </c>
      <c r="R12" s="81">
        <f t="shared" si="24"/>
        <v>1612.6799999999998</v>
      </c>
      <c r="S12" s="81">
        <f t="shared" si="16"/>
        <v>6450.7199999999993</v>
      </c>
      <c r="T12" s="80">
        <f t="shared" si="25"/>
        <v>1612.6799999999998</v>
      </c>
      <c r="U12" s="80">
        <f t="shared" si="25"/>
        <v>1612.6799999999998</v>
      </c>
      <c r="V12" s="80">
        <f t="shared" si="25"/>
        <v>1612.6799999999998</v>
      </c>
      <c r="W12" s="80">
        <f t="shared" si="25"/>
        <v>1612.6799999999998</v>
      </c>
      <c r="X12" s="80">
        <f t="shared" si="17"/>
        <v>6450.7199999999993</v>
      </c>
      <c r="Y12" s="331"/>
      <c r="Z12" s="59" t="str">
        <f t="shared" si="5"/>
        <v xml:space="preserve">   страховые взносы в ПФ РФ, ФСС РФ, ФФОМС, ТФОМС</v>
      </c>
      <c r="AA12" s="80">
        <f t="shared" si="26"/>
        <v>1612.6799999999998</v>
      </c>
      <c r="AB12" s="80">
        <f t="shared" si="26"/>
        <v>1612.6799999999998</v>
      </c>
      <c r="AC12" s="80">
        <f t="shared" si="26"/>
        <v>1612.6799999999998</v>
      </c>
      <c r="AD12" s="80">
        <f t="shared" si="26"/>
        <v>1612.6799999999998</v>
      </c>
      <c r="AE12" s="80">
        <f t="shared" si="18"/>
        <v>6450.7199999999993</v>
      </c>
      <c r="AF12" s="80">
        <f t="shared" si="27"/>
        <v>1612.6799999999998</v>
      </c>
      <c r="AG12" s="80">
        <f t="shared" si="27"/>
        <v>1612.6799999999998</v>
      </c>
      <c r="AH12" s="80">
        <f t="shared" si="27"/>
        <v>1612.6799999999998</v>
      </c>
      <c r="AI12" s="80">
        <f t="shared" si="27"/>
        <v>1612.6799999999998</v>
      </c>
      <c r="AJ12" s="80">
        <f t="shared" si="19"/>
        <v>6450.7199999999993</v>
      </c>
      <c r="AK12" s="331"/>
      <c r="AL12" s="59" t="str">
        <f t="shared" si="6"/>
        <v xml:space="preserve">   страховые взносы в ПФ РФ, ФСС РФ, ФФОМС, ТФОМС</v>
      </c>
      <c r="AM12" s="80">
        <f t="shared" si="28"/>
        <v>1612.6799999999998</v>
      </c>
      <c r="AN12" s="80">
        <f t="shared" si="28"/>
        <v>1612.6799999999998</v>
      </c>
      <c r="AO12" s="80">
        <f t="shared" si="28"/>
        <v>1612.6799999999998</v>
      </c>
      <c r="AP12" s="80">
        <f t="shared" si="28"/>
        <v>1612.6799999999998</v>
      </c>
      <c r="AQ12" s="80">
        <f t="shared" si="20"/>
        <v>6450.7199999999993</v>
      </c>
      <c r="AR12" s="80">
        <f t="shared" si="29"/>
        <v>1612.6799999999998</v>
      </c>
      <c r="AS12" s="80">
        <f t="shared" si="29"/>
        <v>1612.6799999999998</v>
      </c>
      <c r="AT12" s="80">
        <f t="shared" si="29"/>
        <v>1612.6799999999998</v>
      </c>
      <c r="AU12" s="80">
        <f t="shared" si="29"/>
        <v>1612.6799999999998</v>
      </c>
      <c r="AV12" s="80">
        <f t="shared" si="21"/>
        <v>6450.7199999999993</v>
      </c>
    </row>
    <row r="13" spans="1:48" ht="35.700000000000003" customHeight="1">
      <c r="A13" s="328" t="s">
        <v>94</v>
      </c>
      <c r="B13" s="12" t="s">
        <v>149</v>
      </c>
      <c r="C13" s="81">
        <f>C14+C15</f>
        <v>0</v>
      </c>
      <c r="D13" s="81">
        <f>D14+D15</f>
        <v>0</v>
      </c>
      <c r="E13" s="81">
        <f>E14+E15</f>
        <v>0</v>
      </c>
      <c r="F13" s="81">
        <f>F14+F15</f>
        <v>0</v>
      </c>
      <c r="G13" s="115">
        <f t="shared" si="14"/>
        <v>0</v>
      </c>
      <c r="H13" s="80">
        <f>H14+H15</f>
        <v>2577.96</v>
      </c>
      <c r="I13" s="81">
        <f>I14+I15</f>
        <v>2577.96</v>
      </c>
      <c r="J13" s="81">
        <f>J14+J15</f>
        <v>2577.96</v>
      </c>
      <c r="K13" s="81">
        <f>K14+K15</f>
        <v>2577.96</v>
      </c>
      <c r="L13" s="115">
        <f t="shared" si="15"/>
        <v>10311.84</v>
      </c>
      <c r="M13" s="328" t="s">
        <v>94</v>
      </c>
      <c r="N13" s="12" t="str">
        <f t="shared" si="4"/>
        <v>Расходы на оплату труда основного производственного персонала, в т.ч.:</v>
      </c>
      <c r="O13" s="81">
        <f>O14+O15</f>
        <v>2577.96</v>
      </c>
      <c r="P13" s="81">
        <f>P14+P15</f>
        <v>2577.96</v>
      </c>
      <c r="Q13" s="81">
        <f>Q14+Q15</f>
        <v>2577.96</v>
      </c>
      <c r="R13" s="81">
        <f>R14+R15</f>
        <v>2577.96</v>
      </c>
      <c r="S13" s="115">
        <f t="shared" si="16"/>
        <v>10311.84</v>
      </c>
      <c r="T13" s="80">
        <f>T14+T15</f>
        <v>2577.96</v>
      </c>
      <c r="U13" s="80">
        <f>U14+U15</f>
        <v>2577.96</v>
      </c>
      <c r="V13" s="80">
        <f>V14+V15</f>
        <v>2577.96</v>
      </c>
      <c r="W13" s="80">
        <f>W14+W15</f>
        <v>2577.96</v>
      </c>
      <c r="X13" s="82">
        <f t="shared" si="17"/>
        <v>10311.84</v>
      </c>
      <c r="Y13" s="328" t="s">
        <v>94</v>
      </c>
      <c r="Z13" s="12" t="str">
        <f t="shared" si="5"/>
        <v>Расходы на оплату труда основного производственного персонала, в т.ч.:</v>
      </c>
      <c r="AA13" s="80">
        <f>AA14+AA15</f>
        <v>2577.96</v>
      </c>
      <c r="AB13" s="80">
        <f>AB14+AB15</f>
        <v>2577.96</v>
      </c>
      <c r="AC13" s="80">
        <f>AC14+AC15</f>
        <v>2577.96</v>
      </c>
      <c r="AD13" s="80">
        <f>AD14+AD15</f>
        <v>2577.96</v>
      </c>
      <c r="AE13" s="82">
        <f t="shared" si="18"/>
        <v>10311.84</v>
      </c>
      <c r="AF13" s="80">
        <f>AF14+AF15</f>
        <v>2577.96</v>
      </c>
      <c r="AG13" s="80">
        <f>AG14+AG15</f>
        <v>2577.96</v>
      </c>
      <c r="AH13" s="80">
        <f>AH14+AH15</f>
        <v>2577.96</v>
      </c>
      <c r="AI13" s="80">
        <f>AI14+AI15</f>
        <v>2577.96</v>
      </c>
      <c r="AJ13" s="82">
        <f t="shared" si="19"/>
        <v>10311.84</v>
      </c>
      <c r="AK13" s="328" t="s">
        <v>94</v>
      </c>
      <c r="AL13" s="12" t="str">
        <f t="shared" si="6"/>
        <v>Расходы на оплату труда основного производственного персонала, в т.ч.:</v>
      </c>
      <c r="AM13" s="80">
        <f>AM14+AM15</f>
        <v>2577.96</v>
      </c>
      <c r="AN13" s="80">
        <f>AN14+AN15</f>
        <v>2577.96</v>
      </c>
      <c r="AO13" s="80">
        <f>AO14+AO15</f>
        <v>2577.96</v>
      </c>
      <c r="AP13" s="80">
        <f>AP14+AP15</f>
        <v>2577.96</v>
      </c>
      <c r="AQ13" s="82">
        <f t="shared" si="20"/>
        <v>10311.84</v>
      </c>
      <c r="AR13" s="80">
        <f>AR14+AR15</f>
        <v>2577.96</v>
      </c>
      <c r="AS13" s="80">
        <f>AS14+AS15</f>
        <v>2577.96</v>
      </c>
      <c r="AT13" s="80">
        <f>AT14+AT15</f>
        <v>2577.96</v>
      </c>
      <c r="AU13" s="80">
        <f>AU14+AU15</f>
        <v>2577.96</v>
      </c>
      <c r="AV13" s="82">
        <f t="shared" si="21"/>
        <v>10311.84</v>
      </c>
    </row>
    <row r="14" spans="1:48" ht="13.5" customHeight="1">
      <c r="A14" s="296"/>
      <c r="B14" s="59" t="s">
        <v>147</v>
      </c>
      <c r="C14" s="81">
        <f>C7*'Исходные данные'!$B$6*3</f>
        <v>0</v>
      </c>
      <c r="D14" s="81">
        <f>D7*'Исходные данные'!$B$6*3</f>
        <v>0</v>
      </c>
      <c r="E14" s="81">
        <f>E7*'Исходные данные'!$B$6*3</f>
        <v>0</v>
      </c>
      <c r="F14" s="81">
        <f>F7*'Исходные данные'!$B$6*3</f>
        <v>0</v>
      </c>
      <c r="G14" s="81">
        <f t="shared" si="14"/>
        <v>0</v>
      </c>
      <c r="H14" s="80">
        <f>H7*'Исходные данные'!$B$6*3</f>
        <v>1980</v>
      </c>
      <c r="I14" s="81">
        <f>I7*'Исходные данные'!$B$6*3</f>
        <v>1980</v>
      </c>
      <c r="J14" s="81">
        <f>J7*'Исходные данные'!$B$6*3</f>
        <v>1980</v>
      </c>
      <c r="K14" s="81">
        <f>K7*'Исходные данные'!$B$6*3</f>
        <v>1980</v>
      </c>
      <c r="L14" s="81">
        <f t="shared" si="15"/>
        <v>7920</v>
      </c>
      <c r="M14" s="296"/>
      <c r="N14" s="59" t="str">
        <f t="shared" si="4"/>
        <v xml:space="preserve">   заработная плата </v>
      </c>
      <c r="O14" s="81">
        <f>O7*'Исходные данные'!$B$6*3</f>
        <v>1980</v>
      </c>
      <c r="P14" s="81">
        <f>P7*'Исходные данные'!$B$6*3</f>
        <v>1980</v>
      </c>
      <c r="Q14" s="81">
        <f>Q7*'Исходные данные'!$B$6*3</f>
        <v>1980</v>
      </c>
      <c r="R14" s="81">
        <f>R7*'Исходные данные'!$B$6*3</f>
        <v>1980</v>
      </c>
      <c r="S14" s="81">
        <f t="shared" si="16"/>
        <v>7920</v>
      </c>
      <c r="T14" s="80">
        <f>T7*'Исходные данные'!$B$6*3</f>
        <v>1980</v>
      </c>
      <c r="U14" s="80">
        <f>U7*'Исходные данные'!$B$6*3</f>
        <v>1980</v>
      </c>
      <c r="V14" s="80">
        <f>V7*'Исходные данные'!$B$6*3</f>
        <v>1980</v>
      </c>
      <c r="W14" s="80">
        <f>W7*'Исходные данные'!$B$6*3</f>
        <v>1980</v>
      </c>
      <c r="X14" s="80">
        <f t="shared" si="17"/>
        <v>7920</v>
      </c>
      <c r="Y14" s="296"/>
      <c r="Z14" s="59" t="str">
        <f t="shared" si="5"/>
        <v xml:space="preserve">   заработная плата </v>
      </c>
      <c r="AA14" s="80">
        <f>AA7*'Исходные данные'!$B$6*3</f>
        <v>1980</v>
      </c>
      <c r="AB14" s="80">
        <f>AB7*'Исходные данные'!$B$6*3</f>
        <v>1980</v>
      </c>
      <c r="AC14" s="80">
        <f>AC7*'Исходные данные'!$B$6*3</f>
        <v>1980</v>
      </c>
      <c r="AD14" s="80">
        <f>AD7*'Исходные данные'!$B$6*3</f>
        <v>1980</v>
      </c>
      <c r="AE14" s="80">
        <f t="shared" si="18"/>
        <v>7920</v>
      </c>
      <c r="AF14" s="80">
        <f>AF7*'Исходные данные'!$B$6*3</f>
        <v>1980</v>
      </c>
      <c r="AG14" s="80">
        <f>AG7*'Исходные данные'!$B$6*3</f>
        <v>1980</v>
      </c>
      <c r="AH14" s="80">
        <f>AH7*'Исходные данные'!$B$6*3</f>
        <v>1980</v>
      </c>
      <c r="AI14" s="80">
        <f>AI7*'Исходные данные'!$B$6*3</f>
        <v>1980</v>
      </c>
      <c r="AJ14" s="80">
        <f t="shared" si="19"/>
        <v>7920</v>
      </c>
      <c r="AK14" s="296"/>
      <c r="AL14" s="59" t="str">
        <f t="shared" si="6"/>
        <v xml:space="preserve">   заработная плата </v>
      </c>
      <c r="AM14" s="80">
        <f>AM7*'Исходные данные'!$B$6*3</f>
        <v>1980</v>
      </c>
      <c r="AN14" s="80">
        <f>AN7*'Исходные данные'!$B$6*3</f>
        <v>1980</v>
      </c>
      <c r="AO14" s="80">
        <f>AO7*'Исходные данные'!$B$6*3</f>
        <v>1980</v>
      </c>
      <c r="AP14" s="80">
        <f>AP7*'Исходные данные'!$B$6*3</f>
        <v>1980</v>
      </c>
      <c r="AQ14" s="80">
        <f t="shared" si="20"/>
        <v>7920</v>
      </c>
      <c r="AR14" s="80">
        <f>AR7*'Исходные данные'!$B$6*3</f>
        <v>1980</v>
      </c>
      <c r="AS14" s="80">
        <f>AS7*'Исходные данные'!$B$6*3</f>
        <v>1980</v>
      </c>
      <c r="AT14" s="80">
        <f>AT7*'Исходные данные'!$B$6*3</f>
        <v>1980</v>
      </c>
      <c r="AU14" s="80">
        <f>AU7*'Исходные данные'!$B$6*3</f>
        <v>1980</v>
      </c>
      <c r="AV14" s="80">
        <f t="shared" si="21"/>
        <v>7920</v>
      </c>
    </row>
    <row r="15" spans="1:48" ht="24.6" customHeight="1">
      <c r="A15" s="297"/>
      <c r="B15" s="59" t="s">
        <v>148</v>
      </c>
      <c r="C15" s="81">
        <f>C14*'Исходные данные'!$B$12</f>
        <v>0</v>
      </c>
      <c r="D15" s="81">
        <f>D14*'Исходные данные'!$B$12</f>
        <v>0</v>
      </c>
      <c r="E15" s="81">
        <f>E14*'Исходные данные'!$B$12</f>
        <v>0</v>
      </c>
      <c r="F15" s="81">
        <f>F14*'Исходные данные'!$B$12</f>
        <v>0</v>
      </c>
      <c r="G15" s="81">
        <f t="shared" si="14"/>
        <v>0</v>
      </c>
      <c r="H15" s="80">
        <f>H14*'Исходные данные'!$C$12</f>
        <v>597.96</v>
      </c>
      <c r="I15" s="81">
        <f>I14*'Исходные данные'!$C$12</f>
        <v>597.96</v>
      </c>
      <c r="J15" s="81">
        <f>J14*'Исходные данные'!$C$12</f>
        <v>597.96</v>
      </c>
      <c r="K15" s="81">
        <f>K14*'Исходные данные'!$C$12</f>
        <v>597.96</v>
      </c>
      <c r="L15" s="81">
        <f t="shared" si="15"/>
        <v>2391.84</v>
      </c>
      <c r="M15" s="297"/>
      <c r="N15" s="59" t="str">
        <f t="shared" si="4"/>
        <v xml:space="preserve">   страховые взносы в ПФ РФ, ФСС РФ, ФФОМС, ТФОМС</v>
      </c>
      <c r="O15" s="81">
        <f>O14*'Исходные данные'!$C$12</f>
        <v>597.96</v>
      </c>
      <c r="P15" s="81">
        <f>P14*'Исходные данные'!$C$12</f>
        <v>597.96</v>
      </c>
      <c r="Q15" s="81">
        <f>Q14*'Исходные данные'!$C$12</f>
        <v>597.96</v>
      </c>
      <c r="R15" s="81">
        <f>R14*'Исходные данные'!$C$12</f>
        <v>597.96</v>
      </c>
      <c r="S15" s="81">
        <f t="shared" si="16"/>
        <v>2391.84</v>
      </c>
      <c r="T15" s="80">
        <f>T14*'Исходные данные'!$C$12</f>
        <v>597.96</v>
      </c>
      <c r="U15" s="80">
        <f>U14*'Исходные данные'!$C$12</f>
        <v>597.96</v>
      </c>
      <c r="V15" s="80">
        <f>V14*'Исходные данные'!$C$12</f>
        <v>597.96</v>
      </c>
      <c r="W15" s="80">
        <f>W14*'Исходные данные'!$C$12</f>
        <v>597.96</v>
      </c>
      <c r="X15" s="80">
        <f t="shared" si="17"/>
        <v>2391.84</v>
      </c>
      <c r="Y15" s="297"/>
      <c r="Z15" s="59" t="str">
        <f t="shared" si="5"/>
        <v xml:space="preserve">   страховые взносы в ПФ РФ, ФСС РФ, ФФОМС, ТФОМС</v>
      </c>
      <c r="AA15" s="80">
        <f>AA14*'Исходные данные'!$C$12</f>
        <v>597.96</v>
      </c>
      <c r="AB15" s="80">
        <f>AB14*'Исходные данные'!$C$12</f>
        <v>597.96</v>
      </c>
      <c r="AC15" s="80">
        <f>AC14*'Исходные данные'!$C$12</f>
        <v>597.96</v>
      </c>
      <c r="AD15" s="80">
        <f>AD14*'Исходные данные'!$C$12</f>
        <v>597.96</v>
      </c>
      <c r="AE15" s="80">
        <f t="shared" si="18"/>
        <v>2391.84</v>
      </c>
      <c r="AF15" s="80">
        <f>AF14*'Исходные данные'!$C$12</f>
        <v>597.96</v>
      </c>
      <c r="AG15" s="80">
        <f>AG14*'Исходные данные'!$C$12</f>
        <v>597.96</v>
      </c>
      <c r="AH15" s="80">
        <f>AH14*'Исходные данные'!$C$12</f>
        <v>597.96</v>
      </c>
      <c r="AI15" s="80">
        <f>AI14*'Исходные данные'!$C$12</f>
        <v>597.96</v>
      </c>
      <c r="AJ15" s="80">
        <f t="shared" si="19"/>
        <v>2391.84</v>
      </c>
      <c r="AK15" s="297"/>
      <c r="AL15" s="59" t="str">
        <f t="shared" si="6"/>
        <v xml:space="preserve">   страховые взносы в ПФ РФ, ФСС РФ, ФФОМС, ТФОМС</v>
      </c>
      <c r="AM15" s="80">
        <f>AM14*'Исходные данные'!$C$12</f>
        <v>597.96</v>
      </c>
      <c r="AN15" s="80">
        <f>AN14*'Исходные данные'!$C$12</f>
        <v>597.96</v>
      </c>
      <c r="AO15" s="80">
        <f>AO14*'Исходные данные'!$C$12</f>
        <v>597.96</v>
      </c>
      <c r="AP15" s="80">
        <f>AP14*'Исходные данные'!$C$12</f>
        <v>597.96</v>
      </c>
      <c r="AQ15" s="80">
        <f t="shared" si="20"/>
        <v>2391.84</v>
      </c>
      <c r="AR15" s="80">
        <f>AR14*'Исходные данные'!$C$12</f>
        <v>597.96</v>
      </c>
      <c r="AS15" s="80">
        <f>AS14*'Исходные данные'!$C$12</f>
        <v>597.96</v>
      </c>
      <c r="AT15" s="80">
        <f>AT14*'Исходные данные'!$C$12</f>
        <v>597.96</v>
      </c>
      <c r="AU15" s="80">
        <f>AU14*'Исходные данные'!$C$12</f>
        <v>597.96</v>
      </c>
      <c r="AV15" s="80">
        <f t="shared" si="21"/>
        <v>2391.84</v>
      </c>
    </row>
    <row r="16" spans="1:48" ht="46.5" customHeight="1">
      <c r="A16" s="328" t="s">
        <v>96</v>
      </c>
      <c r="B16" s="12" t="s">
        <v>150</v>
      </c>
      <c r="C16" s="81">
        <f>C17+C18</f>
        <v>0</v>
      </c>
      <c r="D16" s="81">
        <f>D17+D18</f>
        <v>0</v>
      </c>
      <c r="E16" s="81">
        <f>E17+E18</f>
        <v>0</v>
      </c>
      <c r="F16" s="81">
        <f>F17+F18</f>
        <v>0</v>
      </c>
      <c r="G16" s="115">
        <f t="shared" si="14"/>
        <v>0</v>
      </c>
      <c r="H16" s="80">
        <f>H17+H18</f>
        <v>2343.6</v>
      </c>
      <c r="I16" s="81">
        <f>I17+I18</f>
        <v>2343.6</v>
      </c>
      <c r="J16" s="81">
        <f>J17+J18</f>
        <v>2343.6</v>
      </c>
      <c r="K16" s="81">
        <f>K17+K18</f>
        <v>2343.6</v>
      </c>
      <c r="L16" s="115">
        <f t="shared" si="15"/>
        <v>9374.4</v>
      </c>
      <c r="M16" s="328" t="s">
        <v>96</v>
      </c>
      <c r="N16" s="12" t="str">
        <f t="shared" si="4"/>
        <v>Расходы на оплату труда вспомогательного персонала (рабочих, служащих и ИТР), в т.ч.:</v>
      </c>
      <c r="O16" s="81">
        <f>O17+O18</f>
        <v>2343.6</v>
      </c>
      <c r="P16" s="81">
        <f>P17+P18</f>
        <v>2343.6</v>
      </c>
      <c r="Q16" s="81">
        <f>Q17+Q18</f>
        <v>2343.6</v>
      </c>
      <c r="R16" s="81">
        <f>R17+R18</f>
        <v>2343.6</v>
      </c>
      <c r="S16" s="115">
        <f t="shared" si="16"/>
        <v>9374.4</v>
      </c>
      <c r="T16" s="80">
        <f>T17+T18</f>
        <v>2343.6</v>
      </c>
      <c r="U16" s="80">
        <f>U17+U18</f>
        <v>2343.6</v>
      </c>
      <c r="V16" s="80">
        <f>V17+V18</f>
        <v>2343.6</v>
      </c>
      <c r="W16" s="80">
        <f>W17+W18</f>
        <v>2343.6</v>
      </c>
      <c r="X16" s="82">
        <f t="shared" si="17"/>
        <v>9374.4</v>
      </c>
      <c r="Y16" s="328" t="s">
        <v>96</v>
      </c>
      <c r="Z16" s="12" t="str">
        <f t="shared" si="5"/>
        <v>Расходы на оплату труда вспомогательного персонала (рабочих, служащих и ИТР), в т.ч.:</v>
      </c>
      <c r="AA16" s="80">
        <f>AA17+AA18</f>
        <v>2343.6</v>
      </c>
      <c r="AB16" s="80">
        <f>AB17+AB18</f>
        <v>2343.6</v>
      </c>
      <c r="AC16" s="80">
        <f>AC17+AC18</f>
        <v>2343.6</v>
      </c>
      <c r="AD16" s="80">
        <f>AD17+AD18</f>
        <v>2343.6</v>
      </c>
      <c r="AE16" s="82">
        <f t="shared" si="18"/>
        <v>9374.4</v>
      </c>
      <c r="AF16" s="80">
        <f>AF17+AF18</f>
        <v>2343.6</v>
      </c>
      <c r="AG16" s="80">
        <f>AG17+AG18</f>
        <v>2343.6</v>
      </c>
      <c r="AH16" s="80">
        <f>AH17+AH18</f>
        <v>2343.6</v>
      </c>
      <c r="AI16" s="80">
        <f>AI17+AI18</f>
        <v>2343.6</v>
      </c>
      <c r="AJ16" s="82">
        <f t="shared" si="19"/>
        <v>9374.4</v>
      </c>
      <c r="AK16" s="328" t="s">
        <v>96</v>
      </c>
      <c r="AL16" s="12" t="str">
        <f t="shared" si="6"/>
        <v>Расходы на оплату труда вспомогательного персонала (рабочих, служащих и ИТР), в т.ч.:</v>
      </c>
      <c r="AM16" s="80">
        <f>AM17+AM18</f>
        <v>2343.6</v>
      </c>
      <c r="AN16" s="80">
        <f>AN17+AN18</f>
        <v>2343.6</v>
      </c>
      <c r="AO16" s="80">
        <f>AO17+AO18</f>
        <v>2343.6</v>
      </c>
      <c r="AP16" s="80">
        <f>AP17+AP18</f>
        <v>2343.6</v>
      </c>
      <c r="AQ16" s="82">
        <f t="shared" si="20"/>
        <v>9374.4</v>
      </c>
      <c r="AR16" s="80">
        <f>AR17+AR18</f>
        <v>2343.6</v>
      </c>
      <c r="AS16" s="80">
        <f>AS17+AS18</f>
        <v>2343.6</v>
      </c>
      <c r="AT16" s="80">
        <f>AT17+AT18</f>
        <v>2343.6</v>
      </c>
      <c r="AU16" s="80">
        <f>AU17+AU18</f>
        <v>2343.6</v>
      </c>
      <c r="AV16" s="82">
        <f t="shared" si="21"/>
        <v>9374.4</v>
      </c>
    </row>
    <row r="17" spans="1:48" ht="13.5" customHeight="1">
      <c r="A17" s="296"/>
      <c r="B17" s="59" t="s">
        <v>147</v>
      </c>
      <c r="C17" s="81">
        <f>C8*'Исходные данные'!$B$7*3</f>
        <v>0</v>
      </c>
      <c r="D17" s="81">
        <f>D8*'Исходные данные'!$B$7*3</f>
        <v>0</v>
      </c>
      <c r="E17" s="81">
        <f>E8*'Исходные данные'!$B$7*3</f>
        <v>0</v>
      </c>
      <c r="F17" s="81">
        <f>F8*'Исходные данные'!$B$7*3</f>
        <v>0</v>
      </c>
      <c r="G17" s="81">
        <f t="shared" si="14"/>
        <v>0</v>
      </c>
      <c r="H17" s="80">
        <f>H8*'Исходные данные'!$B$7*3</f>
        <v>1800</v>
      </c>
      <c r="I17" s="81">
        <f>I8*'Исходные данные'!$B$7*3</f>
        <v>1800</v>
      </c>
      <c r="J17" s="81">
        <f>J8*'Исходные данные'!$B$7*3</f>
        <v>1800</v>
      </c>
      <c r="K17" s="81">
        <f>K8*'Исходные данные'!$B$7*3</f>
        <v>1800</v>
      </c>
      <c r="L17" s="81">
        <f t="shared" si="15"/>
        <v>7200</v>
      </c>
      <c r="M17" s="296"/>
      <c r="N17" s="59" t="str">
        <f t="shared" si="4"/>
        <v xml:space="preserve">   заработная плата </v>
      </c>
      <c r="O17" s="81">
        <f>O8*'Исходные данные'!$B$7*3</f>
        <v>1800</v>
      </c>
      <c r="P17" s="81">
        <f>P8*'Исходные данные'!$B$7*3</f>
        <v>1800</v>
      </c>
      <c r="Q17" s="81">
        <f>Q8*'Исходные данные'!$B$7*3</f>
        <v>1800</v>
      </c>
      <c r="R17" s="81">
        <f>R8*'Исходные данные'!$B$7*3</f>
        <v>1800</v>
      </c>
      <c r="S17" s="81">
        <f t="shared" si="16"/>
        <v>7200</v>
      </c>
      <c r="T17" s="80">
        <f>T8*'Исходные данные'!$B$7*3</f>
        <v>1800</v>
      </c>
      <c r="U17" s="80">
        <f>U8*'Исходные данные'!$B$7*3</f>
        <v>1800</v>
      </c>
      <c r="V17" s="80">
        <f>V8*'Исходные данные'!$B$7*3</f>
        <v>1800</v>
      </c>
      <c r="W17" s="80">
        <f>W8*'Исходные данные'!$B$7*3</f>
        <v>1800</v>
      </c>
      <c r="X17" s="80">
        <f t="shared" si="17"/>
        <v>7200</v>
      </c>
      <c r="Y17" s="296"/>
      <c r="Z17" s="59" t="str">
        <f t="shared" si="5"/>
        <v xml:space="preserve">   заработная плата </v>
      </c>
      <c r="AA17" s="80">
        <f>AA8*'Исходные данные'!$B$7*3</f>
        <v>1800</v>
      </c>
      <c r="AB17" s="80">
        <f>AB8*'Исходные данные'!$B$7*3</f>
        <v>1800</v>
      </c>
      <c r="AC17" s="80">
        <f>AC8*'Исходные данные'!$B$7*3</f>
        <v>1800</v>
      </c>
      <c r="AD17" s="80">
        <f>AD8*'Исходные данные'!$B$7*3</f>
        <v>1800</v>
      </c>
      <c r="AE17" s="80">
        <f t="shared" si="18"/>
        <v>7200</v>
      </c>
      <c r="AF17" s="80">
        <f>AF8*'Исходные данные'!$B$7*3</f>
        <v>1800</v>
      </c>
      <c r="AG17" s="80">
        <f>AG8*'Исходные данные'!$B$7*3</f>
        <v>1800</v>
      </c>
      <c r="AH17" s="80">
        <f>AH8*'Исходные данные'!$B$7*3</f>
        <v>1800</v>
      </c>
      <c r="AI17" s="80">
        <f>AI8*'Исходные данные'!$B$7*3</f>
        <v>1800</v>
      </c>
      <c r="AJ17" s="80">
        <f t="shared" si="19"/>
        <v>7200</v>
      </c>
      <c r="AK17" s="296"/>
      <c r="AL17" s="59" t="str">
        <f t="shared" si="6"/>
        <v xml:space="preserve">   заработная плата </v>
      </c>
      <c r="AM17" s="80">
        <f>AM8*'Исходные данные'!$B$7*3</f>
        <v>1800</v>
      </c>
      <c r="AN17" s="80">
        <f>AN8*'Исходные данные'!$B$7*3</f>
        <v>1800</v>
      </c>
      <c r="AO17" s="80">
        <f>AO8*'Исходные данные'!$B$7*3</f>
        <v>1800</v>
      </c>
      <c r="AP17" s="80">
        <f>AP8*'Исходные данные'!$B$7*3</f>
        <v>1800</v>
      </c>
      <c r="AQ17" s="80">
        <f t="shared" si="20"/>
        <v>7200</v>
      </c>
      <c r="AR17" s="80">
        <f>AR8*'Исходные данные'!$B$7*3</f>
        <v>1800</v>
      </c>
      <c r="AS17" s="80">
        <f>AS8*'Исходные данные'!$B$7*3</f>
        <v>1800</v>
      </c>
      <c r="AT17" s="80">
        <f>AT8*'Исходные данные'!$B$7*3</f>
        <v>1800</v>
      </c>
      <c r="AU17" s="80">
        <f>AU8*'Исходные данные'!$B$7*3</f>
        <v>1800</v>
      </c>
      <c r="AV17" s="80">
        <f t="shared" si="21"/>
        <v>7200</v>
      </c>
    </row>
    <row r="18" spans="1:48" ht="24.6" customHeight="1">
      <c r="A18" s="297"/>
      <c r="B18" s="59" t="s">
        <v>148</v>
      </c>
      <c r="C18" s="81">
        <f>C17*'Исходные данные'!$B$12</f>
        <v>0</v>
      </c>
      <c r="D18" s="81">
        <f>D17*'Исходные данные'!$B$12</f>
        <v>0</v>
      </c>
      <c r="E18" s="81">
        <f>E17*'Исходные данные'!$B$12</f>
        <v>0</v>
      </c>
      <c r="F18" s="81">
        <f>F17*'Исходные данные'!$B$12</f>
        <v>0</v>
      </c>
      <c r="G18" s="81">
        <f t="shared" si="14"/>
        <v>0</v>
      </c>
      <c r="H18" s="80">
        <f>H17*'Исходные данные'!$C$12</f>
        <v>543.6</v>
      </c>
      <c r="I18" s="81">
        <f>I17*'Исходные данные'!$C$12</f>
        <v>543.6</v>
      </c>
      <c r="J18" s="81">
        <f>J17*'Исходные данные'!$C$12</f>
        <v>543.6</v>
      </c>
      <c r="K18" s="81">
        <f>K17*'Исходные данные'!$C$12</f>
        <v>543.6</v>
      </c>
      <c r="L18" s="81">
        <f t="shared" si="15"/>
        <v>2174.4</v>
      </c>
      <c r="M18" s="297"/>
      <c r="N18" s="59" t="str">
        <f t="shared" si="4"/>
        <v xml:space="preserve">   страховые взносы в ПФ РФ, ФСС РФ, ФФОМС, ТФОМС</v>
      </c>
      <c r="O18" s="81">
        <f>O17*'Исходные данные'!$C$12</f>
        <v>543.6</v>
      </c>
      <c r="P18" s="81">
        <f>P17*'Исходные данные'!$C$12</f>
        <v>543.6</v>
      </c>
      <c r="Q18" s="81">
        <f>Q17*'Исходные данные'!$C$12</f>
        <v>543.6</v>
      </c>
      <c r="R18" s="81">
        <f>R17*'Исходные данные'!$C$12</f>
        <v>543.6</v>
      </c>
      <c r="S18" s="81">
        <f t="shared" si="16"/>
        <v>2174.4</v>
      </c>
      <c r="T18" s="80">
        <f>T17*'Исходные данные'!$C$12</f>
        <v>543.6</v>
      </c>
      <c r="U18" s="80">
        <f>U17*'Исходные данные'!$C$12</f>
        <v>543.6</v>
      </c>
      <c r="V18" s="80">
        <f>V17*'Исходные данные'!$C$12</f>
        <v>543.6</v>
      </c>
      <c r="W18" s="80">
        <f>W17*'Исходные данные'!$C$12</f>
        <v>543.6</v>
      </c>
      <c r="X18" s="80">
        <f t="shared" si="17"/>
        <v>2174.4</v>
      </c>
      <c r="Y18" s="297"/>
      <c r="Z18" s="59" t="str">
        <f t="shared" si="5"/>
        <v xml:space="preserve">   страховые взносы в ПФ РФ, ФСС РФ, ФФОМС, ТФОМС</v>
      </c>
      <c r="AA18" s="80">
        <f>AA17*'Исходные данные'!$C$12</f>
        <v>543.6</v>
      </c>
      <c r="AB18" s="80">
        <f>AB17*'Исходные данные'!$C$12</f>
        <v>543.6</v>
      </c>
      <c r="AC18" s="80">
        <f>AC17*'Исходные данные'!$C$12</f>
        <v>543.6</v>
      </c>
      <c r="AD18" s="80">
        <f>AD17*'Исходные данные'!$C$12</f>
        <v>543.6</v>
      </c>
      <c r="AE18" s="80">
        <f t="shared" si="18"/>
        <v>2174.4</v>
      </c>
      <c r="AF18" s="80">
        <f>AF17*'Исходные данные'!$C$12</f>
        <v>543.6</v>
      </c>
      <c r="AG18" s="80">
        <f>AG17*'Исходные данные'!$C$12</f>
        <v>543.6</v>
      </c>
      <c r="AH18" s="80">
        <f>AH17*'Исходные данные'!$C$12</f>
        <v>543.6</v>
      </c>
      <c r="AI18" s="80">
        <f>AI17*'Исходные данные'!$C$12</f>
        <v>543.6</v>
      </c>
      <c r="AJ18" s="80">
        <f t="shared" si="19"/>
        <v>2174.4</v>
      </c>
      <c r="AK18" s="297"/>
      <c r="AL18" s="59" t="str">
        <f t="shared" si="6"/>
        <v xml:space="preserve">   страховые взносы в ПФ РФ, ФСС РФ, ФФОМС, ТФОМС</v>
      </c>
      <c r="AM18" s="80">
        <f>AM17*'Исходные данные'!$C$12</f>
        <v>543.6</v>
      </c>
      <c r="AN18" s="80">
        <f>AN17*'Исходные данные'!$C$12</f>
        <v>543.6</v>
      </c>
      <c r="AO18" s="80">
        <f>AO17*'Исходные данные'!$C$12</f>
        <v>543.6</v>
      </c>
      <c r="AP18" s="80">
        <f>AP17*'Исходные данные'!$C$12</f>
        <v>543.6</v>
      </c>
      <c r="AQ18" s="80">
        <f t="shared" si="20"/>
        <v>2174.4</v>
      </c>
      <c r="AR18" s="80">
        <f>AR17*'Исходные данные'!$C$12</f>
        <v>543.6</v>
      </c>
      <c r="AS18" s="80">
        <f>AS17*'Исходные данные'!$C$12</f>
        <v>543.6</v>
      </c>
      <c r="AT18" s="80">
        <f>AT17*'Исходные данные'!$C$12</f>
        <v>543.6</v>
      </c>
      <c r="AU18" s="80">
        <f>AU17*'Исходные данные'!$C$12</f>
        <v>543.6</v>
      </c>
      <c r="AV18" s="80">
        <f t="shared" si="21"/>
        <v>2174.4</v>
      </c>
    </row>
    <row r="19" spans="1:48" ht="46.5" customHeight="1">
      <c r="A19" s="328" t="s">
        <v>98</v>
      </c>
      <c r="B19" s="12" t="s">
        <v>151</v>
      </c>
      <c r="C19" s="81">
        <f>C20+C21</f>
        <v>0</v>
      </c>
      <c r="D19" s="81">
        <f>D20+D21</f>
        <v>0</v>
      </c>
      <c r="E19" s="81">
        <f>E20+E21</f>
        <v>0</v>
      </c>
      <c r="F19" s="81">
        <f>F20+F21</f>
        <v>0</v>
      </c>
      <c r="G19" s="115">
        <f t="shared" si="14"/>
        <v>0</v>
      </c>
      <c r="H19" s="80">
        <f>H20+H21</f>
        <v>2031.12</v>
      </c>
      <c r="I19" s="81">
        <f>I20+I21</f>
        <v>2031.12</v>
      </c>
      <c r="J19" s="81">
        <f>J20+J21</f>
        <v>2031.12</v>
      </c>
      <c r="K19" s="81">
        <f>K20+K21</f>
        <v>2031.12</v>
      </c>
      <c r="L19" s="115">
        <f t="shared" si="15"/>
        <v>8124.48</v>
      </c>
      <c r="M19" s="328" t="s">
        <v>98</v>
      </c>
      <c r="N19" s="12" t="str">
        <f t="shared" si="4"/>
        <v>Расходы на оплату труда административно-управленческого персонала, в т.ч.:</v>
      </c>
      <c r="O19" s="81">
        <f>O20+O21</f>
        <v>2031.12</v>
      </c>
      <c r="P19" s="81">
        <f>P20+P21</f>
        <v>2031.12</v>
      </c>
      <c r="Q19" s="81">
        <f>Q20+Q21</f>
        <v>2031.12</v>
      </c>
      <c r="R19" s="81">
        <f>R20+R21</f>
        <v>2031.12</v>
      </c>
      <c r="S19" s="115">
        <f t="shared" si="16"/>
        <v>8124.48</v>
      </c>
      <c r="T19" s="80">
        <f>T20+T21</f>
        <v>2031.12</v>
      </c>
      <c r="U19" s="80">
        <f>U20+U21</f>
        <v>2031.12</v>
      </c>
      <c r="V19" s="80">
        <f>V20+V21</f>
        <v>2031.12</v>
      </c>
      <c r="W19" s="80">
        <f>W20+W21</f>
        <v>2031.12</v>
      </c>
      <c r="X19" s="82">
        <f t="shared" si="17"/>
        <v>8124.48</v>
      </c>
      <c r="Y19" s="328" t="s">
        <v>98</v>
      </c>
      <c r="Z19" s="12" t="str">
        <f t="shared" si="5"/>
        <v>Расходы на оплату труда административно-управленческого персонала, в т.ч.:</v>
      </c>
      <c r="AA19" s="80">
        <f>AA20+AA21</f>
        <v>2031.12</v>
      </c>
      <c r="AB19" s="80">
        <f>AB20+AB21</f>
        <v>2031.12</v>
      </c>
      <c r="AC19" s="80">
        <f>AC20+AC21</f>
        <v>2031.12</v>
      </c>
      <c r="AD19" s="80">
        <f>AD20+AD21</f>
        <v>2031.12</v>
      </c>
      <c r="AE19" s="82">
        <f t="shared" si="18"/>
        <v>8124.48</v>
      </c>
      <c r="AF19" s="80">
        <f>AF20+AF21</f>
        <v>2031.12</v>
      </c>
      <c r="AG19" s="80">
        <f>AG20+AG21</f>
        <v>2031.12</v>
      </c>
      <c r="AH19" s="80">
        <f>AH20+AH21</f>
        <v>2031.12</v>
      </c>
      <c r="AI19" s="80">
        <f>AI20+AI21</f>
        <v>2031.12</v>
      </c>
      <c r="AJ19" s="82">
        <f t="shared" si="19"/>
        <v>8124.48</v>
      </c>
      <c r="AK19" s="328" t="s">
        <v>98</v>
      </c>
      <c r="AL19" s="12" t="str">
        <f t="shared" si="6"/>
        <v>Расходы на оплату труда административно-управленческого персонала, в т.ч.:</v>
      </c>
      <c r="AM19" s="80">
        <f>AM20+AM21</f>
        <v>2031.12</v>
      </c>
      <c r="AN19" s="80">
        <f>AN20+AN21</f>
        <v>2031.12</v>
      </c>
      <c r="AO19" s="80">
        <f>AO20+AO21</f>
        <v>2031.12</v>
      </c>
      <c r="AP19" s="80">
        <f>AP20+AP21</f>
        <v>2031.12</v>
      </c>
      <c r="AQ19" s="82">
        <f t="shared" si="20"/>
        <v>8124.48</v>
      </c>
      <c r="AR19" s="80">
        <f>AR20+AR21</f>
        <v>2031.12</v>
      </c>
      <c r="AS19" s="80">
        <f>AS20+AS21</f>
        <v>2031.12</v>
      </c>
      <c r="AT19" s="80">
        <f>AT20+AT21</f>
        <v>2031.12</v>
      </c>
      <c r="AU19" s="80">
        <f>AU20+AU21</f>
        <v>2031.12</v>
      </c>
      <c r="AV19" s="82">
        <f t="shared" si="21"/>
        <v>8124.48</v>
      </c>
    </row>
    <row r="20" spans="1:48" ht="13.5" customHeight="1">
      <c r="A20" s="296"/>
      <c r="B20" s="59" t="s">
        <v>147</v>
      </c>
      <c r="C20" s="81">
        <f>C9*'Исходные данные'!$B$8*3</f>
        <v>0</v>
      </c>
      <c r="D20" s="81">
        <f>D9*'Исходные данные'!$B$8*3</f>
        <v>0</v>
      </c>
      <c r="E20" s="81">
        <f>E9*'Исходные данные'!$B$8*3</f>
        <v>0</v>
      </c>
      <c r="F20" s="81">
        <f>F9*'Исходные данные'!$B$8*3</f>
        <v>0</v>
      </c>
      <c r="G20" s="81">
        <f t="shared" si="14"/>
        <v>0</v>
      </c>
      <c r="H20" s="80">
        <f>H9*'Исходные данные'!$B$8*3</f>
        <v>1560</v>
      </c>
      <c r="I20" s="81">
        <f>I9*'Исходные данные'!$B$8*3</f>
        <v>1560</v>
      </c>
      <c r="J20" s="81">
        <f>J9*'Исходные данные'!$B$8*3</f>
        <v>1560</v>
      </c>
      <c r="K20" s="81">
        <f>K9*'Исходные данные'!$B$8*3</f>
        <v>1560</v>
      </c>
      <c r="L20" s="81">
        <f t="shared" si="15"/>
        <v>6240</v>
      </c>
      <c r="M20" s="296"/>
      <c r="N20" s="59" t="str">
        <f t="shared" si="4"/>
        <v xml:space="preserve">   заработная плата </v>
      </c>
      <c r="O20" s="81">
        <f>O9*'Исходные данные'!$B$8*3</f>
        <v>1560</v>
      </c>
      <c r="P20" s="81">
        <f>P9*'Исходные данные'!$B$8*3</f>
        <v>1560</v>
      </c>
      <c r="Q20" s="81">
        <f>Q9*'Исходные данные'!$B$8*3</f>
        <v>1560</v>
      </c>
      <c r="R20" s="81">
        <f>R9*'Исходные данные'!$B$8*3</f>
        <v>1560</v>
      </c>
      <c r="S20" s="81">
        <f t="shared" si="16"/>
        <v>6240</v>
      </c>
      <c r="T20" s="80">
        <f>T9*'Исходные данные'!$B$8*3</f>
        <v>1560</v>
      </c>
      <c r="U20" s="80">
        <f>U9*'Исходные данные'!$B$8*3</f>
        <v>1560</v>
      </c>
      <c r="V20" s="80">
        <f>V9*'Исходные данные'!$B$8*3</f>
        <v>1560</v>
      </c>
      <c r="W20" s="80">
        <f>W9*'Исходные данные'!$B$8*3</f>
        <v>1560</v>
      </c>
      <c r="X20" s="80">
        <f t="shared" si="17"/>
        <v>6240</v>
      </c>
      <c r="Y20" s="296"/>
      <c r="Z20" s="59" t="str">
        <f t="shared" si="5"/>
        <v xml:space="preserve">   заработная плата </v>
      </c>
      <c r="AA20" s="80">
        <f>AA9*'Исходные данные'!$B$8*3</f>
        <v>1560</v>
      </c>
      <c r="AB20" s="80">
        <f>AB9*'Исходные данные'!$B$8*3</f>
        <v>1560</v>
      </c>
      <c r="AC20" s="80">
        <f>AC9*'Исходные данные'!$B$8*3</f>
        <v>1560</v>
      </c>
      <c r="AD20" s="80">
        <f>AD9*'Исходные данные'!$B$8*3</f>
        <v>1560</v>
      </c>
      <c r="AE20" s="80">
        <f t="shared" si="18"/>
        <v>6240</v>
      </c>
      <c r="AF20" s="80">
        <f>AF9*'Исходные данные'!$B$8*3</f>
        <v>1560</v>
      </c>
      <c r="AG20" s="80">
        <f>AG9*'Исходные данные'!$B$8*3</f>
        <v>1560</v>
      </c>
      <c r="AH20" s="80">
        <f>AH9*'Исходные данные'!$B$8*3</f>
        <v>1560</v>
      </c>
      <c r="AI20" s="80">
        <f>AI9*'Исходные данные'!$B$8*3</f>
        <v>1560</v>
      </c>
      <c r="AJ20" s="80">
        <f t="shared" si="19"/>
        <v>6240</v>
      </c>
      <c r="AK20" s="296"/>
      <c r="AL20" s="59" t="str">
        <f t="shared" si="6"/>
        <v xml:space="preserve">   заработная плата </v>
      </c>
      <c r="AM20" s="80">
        <f>AM9*'Исходные данные'!$B$8*3</f>
        <v>1560</v>
      </c>
      <c r="AN20" s="80">
        <f>AN9*'Исходные данные'!$B$8*3</f>
        <v>1560</v>
      </c>
      <c r="AO20" s="80">
        <f>AO9*'Исходные данные'!$B$8*3</f>
        <v>1560</v>
      </c>
      <c r="AP20" s="80">
        <f>AP9*'Исходные данные'!$B$8*3</f>
        <v>1560</v>
      </c>
      <c r="AQ20" s="80">
        <f t="shared" si="20"/>
        <v>6240</v>
      </c>
      <c r="AR20" s="80">
        <f>AR9*'Исходные данные'!$B$8*3</f>
        <v>1560</v>
      </c>
      <c r="AS20" s="80">
        <f>AS9*'Исходные данные'!$B$8*3</f>
        <v>1560</v>
      </c>
      <c r="AT20" s="80">
        <f>AT9*'Исходные данные'!$B$8*3</f>
        <v>1560</v>
      </c>
      <c r="AU20" s="80">
        <f>AU9*'Исходные данные'!$B$8*3</f>
        <v>1560</v>
      </c>
      <c r="AV20" s="80">
        <f t="shared" si="21"/>
        <v>6240</v>
      </c>
    </row>
    <row r="21" spans="1:48" ht="24.6" customHeight="1">
      <c r="A21" s="297"/>
      <c r="B21" s="59" t="s">
        <v>148</v>
      </c>
      <c r="C21" s="81">
        <f>C20*'Исходные данные'!$B$12</f>
        <v>0</v>
      </c>
      <c r="D21" s="81">
        <f>D20*'Исходные данные'!$B$12</f>
        <v>0</v>
      </c>
      <c r="E21" s="81">
        <f>E20*'Исходные данные'!$B$12</f>
        <v>0</v>
      </c>
      <c r="F21" s="81">
        <f>F20*'Исходные данные'!$B$12</f>
        <v>0</v>
      </c>
      <c r="G21" s="81">
        <f t="shared" si="14"/>
        <v>0</v>
      </c>
      <c r="H21" s="80">
        <f>H20*'Исходные данные'!$C$12</f>
        <v>471.12</v>
      </c>
      <c r="I21" s="81">
        <f>I20*'Исходные данные'!$C$12</f>
        <v>471.12</v>
      </c>
      <c r="J21" s="81">
        <f>J20*'Исходные данные'!$C$12</f>
        <v>471.12</v>
      </c>
      <c r="K21" s="81">
        <f>K20*'Исходные данные'!$C$12</f>
        <v>471.12</v>
      </c>
      <c r="L21" s="81">
        <f t="shared" si="15"/>
        <v>1884.48</v>
      </c>
      <c r="M21" s="297"/>
      <c r="N21" s="59" t="str">
        <f t="shared" si="4"/>
        <v xml:space="preserve">   страховые взносы в ПФ РФ, ФСС РФ, ФФОМС, ТФОМС</v>
      </c>
      <c r="O21" s="81">
        <f>O20*'Исходные данные'!$C$12</f>
        <v>471.12</v>
      </c>
      <c r="P21" s="81">
        <f>P20*'Исходные данные'!$C$12</f>
        <v>471.12</v>
      </c>
      <c r="Q21" s="81">
        <f>Q20*'Исходные данные'!$C$12</f>
        <v>471.12</v>
      </c>
      <c r="R21" s="81">
        <f>R20*'Исходные данные'!$C$12</f>
        <v>471.12</v>
      </c>
      <c r="S21" s="81">
        <f t="shared" si="16"/>
        <v>1884.48</v>
      </c>
      <c r="T21" s="80">
        <f>T20*'Исходные данные'!$C$12</f>
        <v>471.12</v>
      </c>
      <c r="U21" s="80">
        <f>U20*'Исходные данные'!$C$12</f>
        <v>471.12</v>
      </c>
      <c r="V21" s="80">
        <f>V20*'Исходные данные'!$C$12</f>
        <v>471.12</v>
      </c>
      <c r="W21" s="80">
        <f>W20*'Исходные данные'!$C$12</f>
        <v>471.12</v>
      </c>
      <c r="X21" s="80">
        <f t="shared" si="17"/>
        <v>1884.48</v>
      </c>
      <c r="Y21" s="297"/>
      <c r="Z21" s="59" t="str">
        <f t="shared" si="5"/>
        <v xml:space="preserve">   страховые взносы в ПФ РФ, ФСС РФ, ФФОМС, ТФОМС</v>
      </c>
      <c r="AA21" s="80">
        <f>AA20*'Исходные данные'!$C$12</f>
        <v>471.12</v>
      </c>
      <c r="AB21" s="80">
        <f>AB20*'Исходные данные'!$C$12</f>
        <v>471.12</v>
      </c>
      <c r="AC21" s="80">
        <f>AC20*'Исходные данные'!$C$12</f>
        <v>471.12</v>
      </c>
      <c r="AD21" s="80">
        <f>AD20*'Исходные данные'!$C$12</f>
        <v>471.12</v>
      </c>
      <c r="AE21" s="80">
        <f t="shared" si="18"/>
        <v>1884.48</v>
      </c>
      <c r="AF21" s="80">
        <f>AF20*'Исходные данные'!$C$12</f>
        <v>471.12</v>
      </c>
      <c r="AG21" s="80">
        <f>AG20*'Исходные данные'!$C$12</f>
        <v>471.12</v>
      </c>
      <c r="AH21" s="80">
        <f>AH20*'Исходные данные'!$C$12</f>
        <v>471.12</v>
      </c>
      <c r="AI21" s="80">
        <f>AI20*'Исходные данные'!$C$12</f>
        <v>471.12</v>
      </c>
      <c r="AJ21" s="80">
        <f t="shared" si="19"/>
        <v>1884.48</v>
      </c>
      <c r="AK21" s="297"/>
      <c r="AL21" s="59" t="str">
        <f t="shared" si="6"/>
        <v xml:space="preserve">   страховые взносы в ПФ РФ, ФСС РФ, ФФОМС, ТФОМС</v>
      </c>
      <c r="AM21" s="80">
        <f>AM20*'Исходные данные'!$C$12</f>
        <v>471.12</v>
      </c>
      <c r="AN21" s="80">
        <f>AN20*'Исходные данные'!$C$12</f>
        <v>471.12</v>
      </c>
      <c r="AO21" s="80">
        <f>AO20*'Исходные данные'!$C$12</f>
        <v>471.12</v>
      </c>
      <c r="AP21" s="80">
        <f>AP20*'Исходные данные'!$C$12</f>
        <v>471.12</v>
      </c>
      <c r="AQ21" s="80">
        <f t="shared" si="20"/>
        <v>1884.48</v>
      </c>
      <c r="AR21" s="80">
        <f>AR20*'Исходные данные'!$C$12</f>
        <v>471.12</v>
      </c>
      <c r="AS21" s="80">
        <f>AS20*'Исходные данные'!$C$12</f>
        <v>471.12</v>
      </c>
      <c r="AT21" s="80">
        <f>AT20*'Исходные данные'!$C$12</f>
        <v>471.12</v>
      </c>
      <c r="AU21" s="80">
        <f>AU20*'Исходные данные'!$C$12</f>
        <v>471.12</v>
      </c>
      <c r="AV21" s="80">
        <f t="shared" si="21"/>
        <v>1884.48</v>
      </c>
    </row>
    <row r="22" spans="1:48" ht="13.5" customHeight="1">
      <c r="A22" s="151" t="s">
        <v>70</v>
      </c>
      <c r="B22" s="12" t="s">
        <v>152</v>
      </c>
      <c r="C22" s="81">
        <f>C11*0.13</f>
        <v>0</v>
      </c>
      <c r="D22" s="81">
        <f>D11*0.13</f>
        <v>0</v>
      </c>
      <c r="E22" s="81">
        <f>E11*0.13</f>
        <v>0</v>
      </c>
      <c r="F22" s="81">
        <f>F11*0.13</f>
        <v>0</v>
      </c>
      <c r="G22" s="115">
        <f t="shared" si="14"/>
        <v>0</v>
      </c>
      <c r="H22" s="80">
        <f>H11*0.13</f>
        <v>694.2</v>
      </c>
      <c r="I22" s="81">
        <f>I11*0.13</f>
        <v>694.2</v>
      </c>
      <c r="J22" s="81">
        <f>J11*0.13</f>
        <v>694.2</v>
      </c>
      <c r="K22" s="81">
        <f>K11*0.13</f>
        <v>694.2</v>
      </c>
      <c r="L22" s="115">
        <f t="shared" si="15"/>
        <v>2776.8</v>
      </c>
      <c r="M22" s="151" t="s">
        <v>70</v>
      </c>
      <c r="N22" s="12" t="str">
        <f t="shared" si="4"/>
        <v>Расчет НДФЛ</v>
      </c>
      <c r="O22" s="81">
        <f>O11*0.13</f>
        <v>694.2</v>
      </c>
      <c r="P22" s="81">
        <f>P11*0.13</f>
        <v>694.2</v>
      </c>
      <c r="Q22" s="81">
        <f>Q11*0.13</f>
        <v>694.2</v>
      </c>
      <c r="R22" s="81">
        <f>R11*0.13</f>
        <v>694.2</v>
      </c>
      <c r="S22" s="115">
        <f t="shared" si="16"/>
        <v>2776.8</v>
      </c>
      <c r="T22" s="80">
        <f>T11*0.13</f>
        <v>694.2</v>
      </c>
      <c r="U22" s="80">
        <f>U11*0.13</f>
        <v>694.2</v>
      </c>
      <c r="V22" s="80">
        <f>V11*0.13</f>
        <v>694.2</v>
      </c>
      <c r="W22" s="80">
        <f>W11*0.13</f>
        <v>694.2</v>
      </c>
      <c r="X22" s="82">
        <f t="shared" si="17"/>
        <v>2776.8</v>
      </c>
      <c r="Y22" s="151" t="s">
        <v>70</v>
      </c>
      <c r="Z22" s="12" t="str">
        <f t="shared" si="5"/>
        <v>Расчет НДФЛ</v>
      </c>
      <c r="AA22" s="80">
        <f>AA11*0.13</f>
        <v>694.2</v>
      </c>
      <c r="AB22" s="80">
        <f>AB11*0.13</f>
        <v>694.2</v>
      </c>
      <c r="AC22" s="80">
        <f>AC11*0.13</f>
        <v>694.2</v>
      </c>
      <c r="AD22" s="80">
        <f>AD11*0.13</f>
        <v>694.2</v>
      </c>
      <c r="AE22" s="82">
        <f t="shared" si="18"/>
        <v>2776.8</v>
      </c>
      <c r="AF22" s="80">
        <f>AF11*0.13</f>
        <v>694.2</v>
      </c>
      <c r="AG22" s="80">
        <f>AG11*0.13</f>
        <v>694.2</v>
      </c>
      <c r="AH22" s="80">
        <f>AH11*0.13</f>
        <v>694.2</v>
      </c>
      <c r="AI22" s="80">
        <f>AI11*0.13</f>
        <v>694.2</v>
      </c>
      <c r="AJ22" s="82">
        <f t="shared" si="19"/>
        <v>2776.8</v>
      </c>
      <c r="AK22" s="151" t="s">
        <v>70</v>
      </c>
      <c r="AL22" s="12" t="str">
        <f t="shared" si="6"/>
        <v>Расчет НДФЛ</v>
      </c>
      <c r="AM22" s="80">
        <f>AM11*0.13</f>
        <v>694.2</v>
      </c>
      <c r="AN22" s="80">
        <f>AN11*0.13</f>
        <v>694.2</v>
      </c>
      <c r="AO22" s="80">
        <f>AO11*0.13</f>
        <v>694.2</v>
      </c>
      <c r="AP22" s="80">
        <f>AP11*0.13</f>
        <v>694.2</v>
      </c>
      <c r="AQ22" s="82">
        <f t="shared" si="20"/>
        <v>2776.8</v>
      </c>
      <c r="AR22" s="80">
        <f>AR11*0.13</f>
        <v>694.2</v>
      </c>
      <c r="AS22" s="80">
        <f>AS11*0.13</f>
        <v>694.2</v>
      </c>
      <c r="AT22" s="80">
        <f>AT11*0.13</f>
        <v>694.2</v>
      </c>
      <c r="AU22" s="80">
        <f>AU11*0.13</f>
        <v>694.2</v>
      </c>
      <c r="AV22" s="82">
        <f t="shared" si="21"/>
        <v>2776.8</v>
      </c>
    </row>
    <row r="23" spans="1:48" ht="15" customHeight="1">
      <c r="A23" s="18"/>
      <c r="B23" s="18"/>
      <c r="C23" s="92"/>
      <c r="D23" s="92"/>
      <c r="E23" s="92"/>
      <c r="F23" s="92"/>
      <c r="G23" s="92"/>
      <c r="H23" s="18"/>
      <c r="I23" s="92"/>
      <c r="J23" s="92"/>
      <c r="K23" s="92"/>
      <c r="L23" s="92"/>
      <c r="M23" s="18"/>
      <c r="N23" s="18"/>
      <c r="O23" s="92"/>
      <c r="P23" s="92"/>
      <c r="Q23" s="92"/>
      <c r="R23" s="92"/>
      <c r="S23" s="92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ht="15" customHeight="1">
      <c r="A24" s="2"/>
      <c r="B24" s="2"/>
      <c r="C24" s="97"/>
      <c r="D24" s="97"/>
      <c r="E24" s="97"/>
      <c r="F24" s="97"/>
      <c r="G24" s="97"/>
      <c r="H24" s="2"/>
      <c r="I24" s="97"/>
      <c r="J24" s="97"/>
      <c r="K24" s="97"/>
      <c r="L24" s="96">
        <v>1</v>
      </c>
      <c r="M24" s="2"/>
      <c r="N24" s="2"/>
      <c r="O24" s="97"/>
      <c r="P24" s="97"/>
      <c r="Q24" s="97"/>
      <c r="R24" s="97"/>
      <c r="S24" s="96">
        <v>2</v>
      </c>
      <c r="T24" s="2"/>
      <c r="U24" s="2"/>
      <c r="V24" s="2"/>
      <c r="W24" s="2"/>
      <c r="X24" s="39">
        <v>3</v>
      </c>
      <c r="Y24" s="2"/>
      <c r="Z24" s="2"/>
      <c r="AA24" s="2"/>
      <c r="AB24" s="2"/>
      <c r="AC24" s="2"/>
      <c r="AD24" s="2"/>
      <c r="AE24" s="39">
        <v>4</v>
      </c>
      <c r="AF24" s="2"/>
      <c r="AG24" s="2"/>
      <c r="AH24" s="2"/>
      <c r="AI24" s="2"/>
      <c r="AJ24" s="39">
        <v>5</v>
      </c>
      <c r="AK24" s="2"/>
      <c r="AL24" s="2"/>
      <c r="AM24" s="2"/>
      <c r="AN24" s="2"/>
      <c r="AO24" s="2"/>
      <c r="AP24" s="2"/>
      <c r="AQ24" s="39">
        <v>6</v>
      </c>
      <c r="AR24" s="2"/>
      <c r="AS24" s="2"/>
      <c r="AT24" s="2"/>
      <c r="AU24" s="2"/>
      <c r="AV24" s="39">
        <v>7</v>
      </c>
    </row>
  </sheetData>
  <mergeCells count="40">
    <mergeCell ref="M19:M21"/>
    <mergeCell ref="Y3:Y4"/>
    <mergeCell ref="Z3:Z4"/>
    <mergeCell ref="Y10:Y12"/>
    <mergeCell ref="Y13:Y15"/>
    <mergeCell ref="Y19:Y21"/>
    <mergeCell ref="M16:M18"/>
    <mergeCell ref="M13:M15"/>
    <mergeCell ref="M10:M12"/>
    <mergeCell ref="M3:M4"/>
    <mergeCell ref="A1:L1"/>
    <mergeCell ref="A2:L2"/>
    <mergeCell ref="A16:A18"/>
    <mergeCell ref="H3:L3"/>
    <mergeCell ref="A10:A12"/>
    <mergeCell ref="A19:A21"/>
    <mergeCell ref="A3:A4"/>
    <mergeCell ref="B3:B4"/>
    <mergeCell ref="C3:G3"/>
    <mergeCell ref="A13:A15"/>
    <mergeCell ref="AK19:AK21"/>
    <mergeCell ref="AK13:AK15"/>
    <mergeCell ref="AK16:AK18"/>
    <mergeCell ref="AF3:AJ3"/>
    <mergeCell ref="Y1:AJ1"/>
    <mergeCell ref="AK2:AV2"/>
    <mergeCell ref="AK3:AK4"/>
    <mergeCell ref="AL3:AL4"/>
    <mergeCell ref="AM3:AQ3"/>
    <mergeCell ref="Y16:Y18"/>
    <mergeCell ref="AK10:AK12"/>
    <mergeCell ref="AK1:AV1"/>
    <mergeCell ref="AR3:AV3"/>
    <mergeCell ref="M1:X1"/>
    <mergeCell ref="M2:X2"/>
    <mergeCell ref="O3:S3"/>
    <mergeCell ref="T3:X3"/>
    <mergeCell ref="AA3:AE3"/>
    <mergeCell ref="Y2:AJ2"/>
    <mergeCell ref="N3:N4"/>
  </mergeCells>
  <pageMargins left="0.78740200000000005" right="0.78740200000000005" top="0.98425200000000002" bottom="0.59055100000000005" header="0.51181100000000002" footer="0.51181100000000002"/>
  <pageSetup scale="86" orientation="landscape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8"/>
  <sheetViews>
    <sheetView showGridLines="0" topLeftCell="A55" workbookViewId="0">
      <selection activeCell="F75" sqref="F75"/>
    </sheetView>
  </sheetViews>
  <sheetFormatPr defaultColWidth="9" defaultRowHeight="13.2" customHeight="1"/>
  <cols>
    <col min="1" max="1" width="4.5546875" style="152" customWidth="1"/>
    <col min="2" max="2" width="27.5546875" style="152" customWidth="1"/>
    <col min="3" max="4" width="11.109375" style="152" customWidth="1"/>
    <col min="5" max="5" width="12.88671875" style="152" customWidth="1"/>
    <col min="6" max="6" width="14.44140625" style="152" customWidth="1"/>
    <col min="7" max="7" width="12" style="152" customWidth="1"/>
    <col min="8" max="8" width="9.5546875" style="152" customWidth="1"/>
    <col min="9" max="256" width="9" style="152" customWidth="1"/>
  </cols>
  <sheetData>
    <row r="1" spans="1:12" ht="15" customHeight="1">
      <c r="A1" s="285" t="s">
        <v>153</v>
      </c>
      <c r="B1" s="286"/>
      <c r="C1" s="286"/>
      <c r="D1" s="286"/>
      <c r="E1" s="286"/>
      <c r="F1" s="286"/>
      <c r="G1" s="2"/>
      <c r="H1" s="2"/>
      <c r="I1" s="97"/>
      <c r="J1" s="97"/>
      <c r="K1" s="97"/>
      <c r="L1" s="97"/>
    </row>
    <row r="2" spans="1:12" ht="15" customHeight="1">
      <c r="A2" s="332" t="s">
        <v>154</v>
      </c>
      <c r="B2" s="333"/>
      <c r="C2" s="333"/>
      <c r="D2" s="333"/>
      <c r="E2" s="333"/>
      <c r="F2" s="333"/>
      <c r="G2" s="2"/>
      <c r="H2" s="2"/>
      <c r="I2" s="97"/>
      <c r="J2" s="97"/>
      <c r="K2" s="97"/>
      <c r="L2" s="97"/>
    </row>
    <row r="3" spans="1:12" ht="15" customHeight="1">
      <c r="A3" s="310" t="s">
        <v>155</v>
      </c>
      <c r="B3" s="311"/>
      <c r="C3" s="311"/>
      <c r="D3" s="311"/>
      <c r="E3" s="311"/>
      <c r="F3" s="311"/>
      <c r="G3" s="2"/>
      <c r="H3" s="2"/>
      <c r="I3" s="97"/>
      <c r="J3" s="97"/>
      <c r="K3" s="97"/>
      <c r="L3" s="97"/>
    </row>
    <row r="4" spans="1:12" ht="21.75" customHeight="1">
      <c r="A4" s="293" t="s">
        <v>53</v>
      </c>
      <c r="B4" s="293" t="s">
        <v>156</v>
      </c>
      <c r="C4" s="334" t="s">
        <v>105</v>
      </c>
      <c r="D4" s="334" t="s">
        <v>157</v>
      </c>
      <c r="E4" s="334" t="s">
        <v>158</v>
      </c>
      <c r="F4" s="334" t="s">
        <v>159</v>
      </c>
      <c r="G4" s="15"/>
      <c r="H4" s="2"/>
      <c r="I4" s="97"/>
      <c r="J4" s="97"/>
      <c r="K4" s="97"/>
      <c r="L4" s="97"/>
    </row>
    <row r="5" spans="1:12" ht="15" customHeight="1">
      <c r="A5" s="294"/>
      <c r="B5" s="294"/>
      <c r="C5" s="303"/>
      <c r="D5" s="303"/>
      <c r="E5" s="303"/>
      <c r="F5" s="303"/>
      <c r="G5" s="15"/>
      <c r="H5" s="2"/>
      <c r="I5" s="97"/>
      <c r="J5" s="97"/>
      <c r="K5" s="97"/>
      <c r="L5" s="97"/>
    </row>
    <row r="6" spans="1:12" ht="15" customHeight="1">
      <c r="A6" s="294"/>
      <c r="B6" s="294"/>
      <c r="C6" s="304"/>
      <c r="D6" s="304"/>
      <c r="E6" s="304"/>
      <c r="F6" s="304"/>
      <c r="G6" s="15"/>
      <c r="H6" s="24" t="s">
        <v>160</v>
      </c>
      <c r="I6" s="25">
        <v>1</v>
      </c>
      <c r="J6" s="153">
        <v>0.05</v>
      </c>
      <c r="K6" s="97"/>
      <c r="L6" s="97"/>
    </row>
    <row r="7" spans="1:12" ht="15" customHeight="1">
      <c r="A7" s="154">
        <v>1</v>
      </c>
      <c r="B7" s="154">
        <v>2</v>
      </c>
      <c r="C7" s="154">
        <v>3</v>
      </c>
      <c r="D7" s="154">
        <v>4</v>
      </c>
      <c r="E7" s="154">
        <v>5</v>
      </c>
      <c r="F7" s="154">
        <v>6</v>
      </c>
      <c r="G7" s="15"/>
      <c r="H7" s="2"/>
      <c r="I7" s="25">
        <v>2</v>
      </c>
      <c r="J7" s="153">
        <f t="shared" ref="J7:J15" si="0">J6</f>
        <v>0.05</v>
      </c>
      <c r="K7" s="97"/>
      <c r="L7" s="97"/>
    </row>
    <row r="8" spans="1:12" ht="15" customHeight="1">
      <c r="A8" s="85" t="s">
        <v>63</v>
      </c>
      <c r="B8" s="12" t="str">
        <f>'Исходные данные'!F81</f>
        <v>продажа 1м3 ПСБ-С-15 Л</v>
      </c>
      <c r="C8" s="155"/>
      <c r="D8" s="155"/>
      <c r="E8" s="156"/>
      <c r="F8" s="157">
        <f>F9+F17+F18+F19+F20</f>
        <v>733.42499999999995</v>
      </c>
      <c r="G8" s="15"/>
      <c r="H8" s="41"/>
      <c r="I8" s="25">
        <v>3</v>
      </c>
      <c r="J8" s="153">
        <f t="shared" si="0"/>
        <v>0.05</v>
      </c>
      <c r="K8" s="97"/>
      <c r="L8" s="97"/>
    </row>
    <row r="9" spans="1:12" ht="15" customHeight="1">
      <c r="A9" s="328" t="s">
        <v>86</v>
      </c>
      <c r="B9" s="12" t="s">
        <v>161</v>
      </c>
      <c r="C9" s="155"/>
      <c r="D9" s="155"/>
      <c r="E9" s="156"/>
      <c r="F9" s="158">
        <f>F10+F11+F12</f>
        <v>405</v>
      </c>
      <c r="G9" s="15"/>
      <c r="H9" s="2"/>
      <c r="I9" s="25">
        <v>4</v>
      </c>
      <c r="J9" s="153">
        <f t="shared" si="0"/>
        <v>0.05</v>
      </c>
      <c r="K9" s="97"/>
      <c r="L9" s="97"/>
    </row>
    <row r="10" spans="1:12" ht="15" customHeight="1">
      <c r="A10" s="296"/>
      <c r="B10" s="159"/>
      <c r="C10" s="160"/>
      <c r="D10" s="161">
        <v>45</v>
      </c>
      <c r="E10" s="162">
        <v>9</v>
      </c>
      <c r="F10" s="163">
        <f t="shared" ref="F10:F19" si="1">D10*E10</f>
        <v>405</v>
      </c>
      <c r="G10" s="15"/>
      <c r="H10" s="2"/>
      <c r="I10" s="25">
        <v>5</v>
      </c>
      <c r="J10" s="153">
        <f t="shared" si="0"/>
        <v>0.05</v>
      </c>
      <c r="K10" s="97"/>
      <c r="L10" s="97"/>
    </row>
    <row r="11" spans="1:12" ht="15" customHeight="1">
      <c r="A11" s="296"/>
      <c r="B11" s="159"/>
      <c r="C11" s="155"/>
      <c r="D11" s="161"/>
      <c r="E11" s="162">
        <v>0</v>
      </c>
      <c r="F11" s="163">
        <f t="shared" si="1"/>
        <v>0</v>
      </c>
      <c r="G11" s="15"/>
      <c r="H11" s="2"/>
      <c r="I11" s="25">
        <v>6</v>
      </c>
      <c r="J11" s="153">
        <f t="shared" si="0"/>
        <v>0.05</v>
      </c>
      <c r="K11" s="97"/>
      <c r="L11" s="97"/>
    </row>
    <row r="12" spans="1:12" ht="15" customHeight="1">
      <c r="A12" s="296"/>
      <c r="B12" s="159"/>
      <c r="C12" s="155"/>
      <c r="D12" s="161"/>
      <c r="E12" s="162">
        <v>0</v>
      </c>
      <c r="F12" s="163">
        <f t="shared" si="1"/>
        <v>0</v>
      </c>
      <c r="G12" s="15"/>
      <c r="H12" s="2"/>
      <c r="I12" s="25">
        <v>7</v>
      </c>
      <c r="J12" s="153">
        <f t="shared" si="0"/>
        <v>0.05</v>
      </c>
      <c r="K12" s="97"/>
      <c r="L12" s="97"/>
    </row>
    <row r="13" spans="1:12" ht="15" customHeight="1">
      <c r="A13" s="296"/>
      <c r="B13" s="159"/>
      <c r="C13" s="155"/>
      <c r="D13" s="161"/>
      <c r="E13" s="162">
        <v>0</v>
      </c>
      <c r="F13" s="163">
        <f t="shared" si="1"/>
        <v>0</v>
      </c>
      <c r="G13" s="15"/>
      <c r="H13" s="2"/>
      <c r="I13" s="25">
        <v>8</v>
      </c>
      <c r="J13" s="153">
        <f t="shared" si="0"/>
        <v>0.05</v>
      </c>
      <c r="K13" s="97"/>
      <c r="L13" s="97"/>
    </row>
    <row r="14" spans="1:12" ht="15" customHeight="1">
      <c r="A14" s="296"/>
      <c r="B14" s="159"/>
      <c r="C14" s="155"/>
      <c r="D14" s="161"/>
      <c r="E14" s="162">
        <v>0</v>
      </c>
      <c r="F14" s="163">
        <f t="shared" si="1"/>
        <v>0</v>
      </c>
      <c r="G14" s="15"/>
      <c r="H14" s="2"/>
      <c r="I14" s="25">
        <v>9</v>
      </c>
      <c r="J14" s="153">
        <f t="shared" si="0"/>
        <v>0.05</v>
      </c>
      <c r="K14" s="97"/>
      <c r="L14" s="97"/>
    </row>
    <row r="15" spans="1:12" ht="15" customHeight="1">
      <c r="A15" s="296"/>
      <c r="B15" s="159"/>
      <c r="C15" s="155"/>
      <c r="D15" s="161"/>
      <c r="E15" s="162">
        <v>0</v>
      </c>
      <c r="F15" s="163">
        <f t="shared" si="1"/>
        <v>0</v>
      </c>
      <c r="G15" s="15"/>
      <c r="H15" s="2"/>
      <c r="I15" s="25">
        <v>10</v>
      </c>
      <c r="J15" s="153">
        <f t="shared" si="0"/>
        <v>0.05</v>
      </c>
      <c r="K15" s="97"/>
      <c r="L15" s="97"/>
    </row>
    <row r="16" spans="1:12" ht="15" customHeight="1">
      <c r="A16" s="297"/>
      <c r="B16" s="159"/>
      <c r="C16" s="155"/>
      <c r="D16" s="161"/>
      <c r="E16" s="162">
        <v>0</v>
      </c>
      <c r="F16" s="163">
        <f t="shared" si="1"/>
        <v>0</v>
      </c>
      <c r="G16" s="15"/>
      <c r="H16" s="3"/>
      <c r="I16" s="97"/>
      <c r="J16" s="97"/>
      <c r="K16" s="97"/>
      <c r="L16" s="97"/>
    </row>
    <row r="17" spans="1:12" ht="15" customHeight="1">
      <c r="A17" s="79" t="s">
        <v>88</v>
      </c>
      <c r="B17" s="12" t="s">
        <v>162</v>
      </c>
      <c r="C17" s="164" t="s">
        <v>163</v>
      </c>
      <c r="D17" s="165">
        <v>7</v>
      </c>
      <c r="E17" s="162">
        <v>25</v>
      </c>
      <c r="F17" s="158">
        <f t="shared" si="1"/>
        <v>175</v>
      </c>
      <c r="G17" s="166">
        <f>F17+F18+F19</f>
        <v>293.5</v>
      </c>
      <c r="H17" s="167"/>
      <c r="I17" s="101"/>
      <c r="J17" s="97"/>
      <c r="K17" s="97"/>
      <c r="L17" s="97"/>
    </row>
    <row r="18" spans="1:12" ht="15" customHeight="1">
      <c r="A18" s="79" t="s">
        <v>90</v>
      </c>
      <c r="B18" s="12" t="s">
        <v>164</v>
      </c>
      <c r="C18" s="164" t="s">
        <v>165</v>
      </c>
      <c r="D18" s="165">
        <v>33</v>
      </c>
      <c r="E18" s="162">
        <v>2.5</v>
      </c>
      <c r="F18" s="158">
        <f t="shared" si="1"/>
        <v>82.5</v>
      </c>
      <c r="G18" s="166"/>
      <c r="H18" s="167"/>
      <c r="I18" s="101"/>
      <c r="J18" s="97"/>
      <c r="K18" s="97"/>
      <c r="L18" s="97"/>
    </row>
    <row r="19" spans="1:12" ht="12.75" customHeight="1">
      <c r="A19" s="79" t="s">
        <v>92</v>
      </c>
      <c r="B19" s="12" t="s">
        <v>166</v>
      </c>
      <c r="C19" s="164" t="s">
        <v>165</v>
      </c>
      <c r="D19" s="165">
        <v>36</v>
      </c>
      <c r="E19" s="162">
        <v>1</v>
      </c>
      <c r="F19" s="158">
        <f t="shared" si="1"/>
        <v>36</v>
      </c>
      <c r="G19" s="15"/>
      <c r="H19" s="65"/>
      <c r="I19" s="97"/>
      <c r="J19" s="97"/>
      <c r="K19" s="97"/>
      <c r="L19" s="97"/>
    </row>
    <row r="20" spans="1:12" ht="14.25" customHeight="1">
      <c r="A20" s="79" t="s">
        <v>167</v>
      </c>
      <c r="B20" s="12" t="s">
        <v>168</v>
      </c>
      <c r="C20" s="164"/>
      <c r="D20" s="161"/>
      <c r="E20" s="162">
        <v>1</v>
      </c>
      <c r="F20" s="158">
        <f>(F9+F17+F18+F19)*G20</f>
        <v>34.925000000000004</v>
      </c>
      <c r="G20" s="168">
        <f>J6</f>
        <v>0.05</v>
      </c>
      <c r="H20" s="2"/>
      <c r="I20" s="97"/>
      <c r="J20" s="97"/>
      <c r="K20" s="97"/>
      <c r="L20" s="97"/>
    </row>
    <row r="21" spans="1:12" ht="12" customHeight="1">
      <c r="A21" s="85" t="s">
        <v>68</v>
      </c>
      <c r="B21" s="12" t="str">
        <f>'Исходные данные'!F82</f>
        <v xml:space="preserve">продажа 1м3 ПСБ-С-15 </v>
      </c>
      <c r="C21" s="155"/>
      <c r="D21" s="161"/>
      <c r="E21" s="169"/>
      <c r="F21" s="157">
        <f>F22+F30+F31+F32+F33</f>
        <v>733.42499999999995</v>
      </c>
      <c r="G21" s="15"/>
      <c r="H21" s="2"/>
      <c r="I21" s="97"/>
      <c r="J21" s="97"/>
      <c r="K21" s="97"/>
      <c r="L21" s="97"/>
    </row>
    <row r="22" spans="1:12" ht="15" customHeight="1">
      <c r="A22" s="328" t="s">
        <v>94</v>
      </c>
      <c r="B22" s="12" t="s">
        <v>161</v>
      </c>
      <c r="C22" s="155"/>
      <c r="D22" s="161"/>
      <c r="E22" s="169"/>
      <c r="F22" s="158">
        <f>F23+F24+F25</f>
        <v>405</v>
      </c>
      <c r="G22" s="15"/>
      <c r="H22" s="2"/>
      <c r="I22" s="97"/>
      <c r="J22" s="97"/>
      <c r="K22" s="97"/>
      <c r="L22" s="97"/>
    </row>
    <row r="23" spans="1:12" ht="15" customHeight="1">
      <c r="A23" s="296"/>
      <c r="B23" s="159"/>
      <c r="C23" s="160"/>
      <c r="D23" s="161">
        <v>45</v>
      </c>
      <c r="E23" s="162">
        <v>9</v>
      </c>
      <c r="F23" s="163">
        <f t="shared" ref="F23:F32" si="2">D23*E23</f>
        <v>405</v>
      </c>
      <c r="G23" s="15"/>
      <c r="H23" s="2"/>
      <c r="I23" s="97"/>
      <c r="J23" s="97"/>
      <c r="K23" s="97"/>
      <c r="L23" s="97"/>
    </row>
    <row r="24" spans="1:12" ht="15" customHeight="1">
      <c r="A24" s="296"/>
      <c r="B24" s="59"/>
      <c r="C24" s="155"/>
      <c r="D24" s="161"/>
      <c r="E24" s="162"/>
      <c r="F24" s="163">
        <f t="shared" si="2"/>
        <v>0</v>
      </c>
      <c r="G24" s="15"/>
      <c r="H24" s="2"/>
      <c r="I24" s="97"/>
      <c r="J24" s="97"/>
      <c r="K24" s="97"/>
      <c r="L24" s="97"/>
    </row>
    <row r="25" spans="1:12" ht="15" customHeight="1">
      <c r="A25" s="296"/>
      <c r="B25" s="59"/>
      <c r="C25" s="155"/>
      <c r="D25" s="161"/>
      <c r="E25" s="162"/>
      <c r="F25" s="163">
        <f t="shared" si="2"/>
        <v>0</v>
      </c>
      <c r="G25" s="15"/>
      <c r="H25" s="2"/>
      <c r="I25" s="97"/>
      <c r="J25" s="97"/>
      <c r="K25" s="97"/>
      <c r="L25" s="97"/>
    </row>
    <row r="26" spans="1:12" ht="15" customHeight="1">
      <c r="A26" s="296"/>
      <c r="B26" s="59" t="s">
        <v>169</v>
      </c>
      <c r="C26" s="155"/>
      <c r="D26" s="161"/>
      <c r="E26" s="162">
        <v>0</v>
      </c>
      <c r="F26" s="163">
        <f t="shared" si="2"/>
        <v>0</v>
      </c>
      <c r="G26" s="15"/>
      <c r="H26" s="2"/>
      <c r="I26" s="97"/>
      <c r="J26" s="97"/>
      <c r="K26" s="97"/>
      <c r="L26" s="97"/>
    </row>
    <row r="27" spans="1:12" ht="15" customHeight="1">
      <c r="A27" s="296"/>
      <c r="B27" s="59" t="s">
        <v>170</v>
      </c>
      <c r="C27" s="155"/>
      <c r="D27" s="161"/>
      <c r="E27" s="162">
        <v>0</v>
      </c>
      <c r="F27" s="163">
        <f t="shared" si="2"/>
        <v>0</v>
      </c>
      <c r="G27" s="15"/>
      <c r="H27" s="2"/>
      <c r="I27" s="97"/>
      <c r="J27" s="97"/>
      <c r="K27" s="97"/>
      <c r="L27" s="97"/>
    </row>
    <row r="28" spans="1:12" ht="15" customHeight="1">
      <c r="A28" s="296"/>
      <c r="B28" s="59" t="s">
        <v>171</v>
      </c>
      <c r="C28" s="155"/>
      <c r="D28" s="161"/>
      <c r="E28" s="162">
        <v>0</v>
      </c>
      <c r="F28" s="163">
        <f t="shared" si="2"/>
        <v>0</v>
      </c>
      <c r="G28" s="15"/>
      <c r="H28" s="2"/>
      <c r="I28" s="97"/>
      <c r="J28" s="97"/>
      <c r="K28" s="97"/>
      <c r="L28" s="97"/>
    </row>
    <row r="29" spans="1:12" ht="15" customHeight="1">
      <c r="A29" s="297"/>
      <c r="B29" s="59" t="s">
        <v>172</v>
      </c>
      <c r="C29" s="155"/>
      <c r="D29" s="161"/>
      <c r="E29" s="162">
        <v>0</v>
      </c>
      <c r="F29" s="163">
        <f t="shared" si="2"/>
        <v>0</v>
      </c>
      <c r="G29" s="15"/>
      <c r="H29" s="3"/>
      <c r="I29" s="97"/>
      <c r="J29" s="97"/>
      <c r="K29" s="97"/>
      <c r="L29" s="97"/>
    </row>
    <row r="30" spans="1:12" ht="15" customHeight="1">
      <c r="A30" s="79" t="s">
        <v>96</v>
      </c>
      <c r="B30" s="12" t="s">
        <v>162</v>
      </c>
      <c r="C30" s="164" t="s">
        <v>163</v>
      </c>
      <c r="D30" s="165">
        <v>7</v>
      </c>
      <c r="E30" s="162">
        <v>25</v>
      </c>
      <c r="F30" s="158">
        <f t="shared" si="2"/>
        <v>175</v>
      </c>
      <c r="G30" s="166">
        <f>F30+F31+F32</f>
        <v>293.5</v>
      </c>
      <c r="H30" s="167"/>
      <c r="I30" s="101"/>
      <c r="J30" s="97"/>
      <c r="K30" s="97"/>
      <c r="L30" s="97"/>
    </row>
    <row r="31" spans="1:12" ht="15" customHeight="1">
      <c r="A31" s="79" t="s">
        <v>98</v>
      </c>
      <c r="B31" s="12" t="s">
        <v>164</v>
      </c>
      <c r="C31" s="164" t="s">
        <v>165</v>
      </c>
      <c r="D31" s="165">
        <v>33</v>
      </c>
      <c r="E31" s="162">
        <v>2.5</v>
      </c>
      <c r="F31" s="158">
        <f t="shared" si="2"/>
        <v>82.5</v>
      </c>
      <c r="G31" s="166"/>
      <c r="H31" s="167"/>
      <c r="I31" s="101"/>
      <c r="J31" s="97"/>
      <c r="K31" s="97"/>
      <c r="L31" s="97"/>
    </row>
    <row r="32" spans="1:12" ht="13.5" customHeight="1">
      <c r="A32" s="79" t="s">
        <v>173</v>
      </c>
      <c r="B32" s="12" t="s">
        <v>166</v>
      </c>
      <c r="C32" s="164" t="s">
        <v>165</v>
      </c>
      <c r="D32" s="165">
        <v>36</v>
      </c>
      <c r="E32" s="162">
        <v>1</v>
      </c>
      <c r="F32" s="158">
        <f t="shared" si="2"/>
        <v>36</v>
      </c>
      <c r="G32" s="15"/>
      <c r="H32" s="65"/>
      <c r="I32" s="97"/>
      <c r="J32" s="97"/>
      <c r="K32" s="97"/>
      <c r="L32" s="97"/>
    </row>
    <row r="33" spans="1:12" ht="15" customHeight="1">
      <c r="A33" s="79" t="s">
        <v>174</v>
      </c>
      <c r="B33" s="12" t="s">
        <v>168</v>
      </c>
      <c r="C33" s="155"/>
      <c r="D33" s="161"/>
      <c r="E33" s="162">
        <v>1</v>
      </c>
      <c r="F33" s="158">
        <f>(F22+F30+F31+F32)*G33</f>
        <v>34.925000000000004</v>
      </c>
      <c r="G33" s="168">
        <f>J7</f>
        <v>0.05</v>
      </c>
      <c r="H33" s="2"/>
      <c r="I33" s="97"/>
      <c r="J33" s="97"/>
      <c r="K33" s="97"/>
      <c r="L33" s="97"/>
    </row>
    <row r="34" spans="1:12" ht="15" customHeight="1">
      <c r="A34" s="85" t="s">
        <v>70</v>
      </c>
      <c r="B34" s="12" t="str">
        <f>'Исходные данные'!F83</f>
        <v>продажа 1м3 ПСБ-С-25</v>
      </c>
      <c r="C34" s="155"/>
      <c r="D34" s="161"/>
      <c r="E34" s="169"/>
      <c r="F34" s="157">
        <f>F35+F43+F44+F45+F46</f>
        <v>875.17499999999995</v>
      </c>
      <c r="G34" s="15"/>
      <c r="H34" s="2"/>
      <c r="I34" s="97"/>
      <c r="J34" s="97"/>
      <c r="K34" s="97"/>
      <c r="L34" s="97"/>
    </row>
    <row r="35" spans="1:12" ht="15" customHeight="1">
      <c r="A35" s="328" t="s">
        <v>111</v>
      </c>
      <c r="B35" s="12" t="s">
        <v>161</v>
      </c>
      <c r="C35" s="155"/>
      <c r="D35" s="161"/>
      <c r="E35" s="169"/>
      <c r="F35" s="158">
        <f>F36+F37+F38</f>
        <v>540</v>
      </c>
      <c r="G35" s="15"/>
      <c r="H35" s="2"/>
      <c r="I35" s="97"/>
      <c r="J35" s="97"/>
      <c r="K35" s="97"/>
      <c r="L35" s="97"/>
    </row>
    <row r="36" spans="1:12" ht="15" customHeight="1">
      <c r="A36" s="296"/>
      <c r="B36" s="159"/>
      <c r="C36" s="160"/>
      <c r="D36" s="161">
        <v>45</v>
      </c>
      <c r="E36" s="162">
        <v>12</v>
      </c>
      <c r="F36" s="163">
        <f t="shared" ref="F36:F45" si="3">D36*E36</f>
        <v>540</v>
      </c>
      <c r="G36" s="15"/>
      <c r="H36" s="2"/>
      <c r="I36" s="97"/>
      <c r="J36" s="97"/>
      <c r="K36" s="97"/>
      <c r="L36" s="97"/>
    </row>
    <row r="37" spans="1:12" ht="15" customHeight="1">
      <c r="A37" s="296"/>
      <c r="B37" s="159"/>
      <c r="C37" s="155"/>
      <c r="D37" s="161"/>
      <c r="E37" s="162"/>
      <c r="F37" s="163">
        <f t="shared" si="3"/>
        <v>0</v>
      </c>
      <c r="G37" s="15"/>
      <c r="H37" s="2"/>
      <c r="I37" s="97"/>
      <c r="J37" s="97"/>
      <c r="K37" s="97"/>
      <c r="L37" s="97"/>
    </row>
    <row r="38" spans="1:12" ht="15" customHeight="1">
      <c r="A38" s="296"/>
      <c r="B38" s="159"/>
      <c r="C38" s="155"/>
      <c r="D38" s="161"/>
      <c r="E38" s="162"/>
      <c r="F38" s="163">
        <f t="shared" si="3"/>
        <v>0</v>
      </c>
      <c r="G38" s="15"/>
      <c r="H38" s="2"/>
      <c r="I38" s="97"/>
      <c r="J38" s="97"/>
      <c r="K38" s="97"/>
      <c r="L38" s="97"/>
    </row>
    <row r="39" spans="1:12" ht="15" customHeight="1">
      <c r="A39" s="296"/>
      <c r="B39" s="59" t="s">
        <v>169</v>
      </c>
      <c r="C39" s="155"/>
      <c r="D39" s="161"/>
      <c r="E39" s="162">
        <v>0</v>
      </c>
      <c r="F39" s="163">
        <f t="shared" si="3"/>
        <v>0</v>
      </c>
      <c r="G39" s="15"/>
      <c r="H39" s="2"/>
      <c r="I39" s="97"/>
      <c r="J39" s="97"/>
      <c r="K39" s="97"/>
      <c r="L39" s="97"/>
    </row>
    <row r="40" spans="1:12" ht="15" customHeight="1">
      <c r="A40" s="296"/>
      <c r="B40" s="59" t="s">
        <v>170</v>
      </c>
      <c r="C40" s="155"/>
      <c r="D40" s="161"/>
      <c r="E40" s="162">
        <v>0</v>
      </c>
      <c r="F40" s="163">
        <f t="shared" si="3"/>
        <v>0</v>
      </c>
      <c r="G40" s="15"/>
      <c r="H40" s="2"/>
      <c r="I40" s="97"/>
      <c r="J40" s="97"/>
      <c r="K40" s="97"/>
      <c r="L40" s="97"/>
    </row>
    <row r="41" spans="1:12" ht="15" customHeight="1">
      <c r="A41" s="296"/>
      <c r="B41" s="59" t="s">
        <v>171</v>
      </c>
      <c r="C41" s="155"/>
      <c r="D41" s="161"/>
      <c r="E41" s="162">
        <v>0</v>
      </c>
      <c r="F41" s="163">
        <f t="shared" si="3"/>
        <v>0</v>
      </c>
      <c r="G41" s="15"/>
      <c r="H41" s="2"/>
      <c r="I41" s="97"/>
      <c r="J41" s="97"/>
      <c r="K41" s="97"/>
      <c r="L41" s="97"/>
    </row>
    <row r="42" spans="1:12" ht="15" customHeight="1">
      <c r="A42" s="297"/>
      <c r="B42" s="59" t="s">
        <v>172</v>
      </c>
      <c r="C42" s="155"/>
      <c r="D42" s="161"/>
      <c r="E42" s="162">
        <v>0</v>
      </c>
      <c r="F42" s="163">
        <f t="shared" si="3"/>
        <v>0</v>
      </c>
      <c r="G42" s="15"/>
      <c r="H42" s="3"/>
      <c r="I42" s="97"/>
      <c r="J42" s="97"/>
      <c r="K42" s="97"/>
      <c r="L42" s="97"/>
    </row>
    <row r="43" spans="1:12" ht="15" customHeight="1">
      <c r="A43" s="79" t="s">
        <v>112</v>
      </c>
      <c r="B43" s="12" t="s">
        <v>162</v>
      </c>
      <c r="C43" s="164" t="s">
        <v>163</v>
      </c>
      <c r="D43" s="165">
        <v>7</v>
      </c>
      <c r="E43" s="162">
        <v>25</v>
      </c>
      <c r="F43" s="158">
        <f t="shared" si="3"/>
        <v>175</v>
      </c>
      <c r="G43" s="166">
        <f>F43+F44+F45</f>
        <v>293.5</v>
      </c>
      <c r="H43" s="167"/>
      <c r="I43" s="101"/>
      <c r="J43" s="97"/>
      <c r="K43" s="97"/>
      <c r="L43" s="97"/>
    </row>
    <row r="44" spans="1:12" ht="15" customHeight="1">
      <c r="A44" s="79" t="s">
        <v>113</v>
      </c>
      <c r="B44" s="12" t="s">
        <v>164</v>
      </c>
      <c r="C44" s="164" t="s">
        <v>165</v>
      </c>
      <c r="D44" s="165">
        <v>33</v>
      </c>
      <c r="E44" s="162">
        <v>2.5</v>
      </c>
      <c r="F44" s="158">
        <f t="shared" si="3"/>
        <v>82.5</v>
      </c>
      <c r="G44" s="166"/>
      <c r="H44" s="167"/>
      <c r="I44" s="101"/>
      <c r="J44" s="97"/>
      <c r="K44" s="97"/>
      <c r="L44" s="97"/>
    </row>
    <row r="45" spans="1:12" ht="15" customHeight="1">
      <c r="A45" s="79" t="s">
        <v>175</v>
      </c>
      <c r="B45" s="12" t="s">
        <v>166</v>
      </c>
      <c r="C45" s="164" t="s">
        <v>165</v>
      </c>
      <c r="D45" s="165">
        <v>36</v>
      </c>
      <c r="E45" s="162">
        <v>1</v>
      </c>
      <c r="F45" s="158">
        <f t="shared" si="3"/>
        <v>36</v>
      </c>
      <c r="G45" s="15"/>
      <c r="H45" s="65"/>
      <c r="I45" s="97"/>
      <c r="J45" s="97"/>
      <c r="K45" s="97"/>
      <c r="L45" s="97"/>
    </row>
    <row r="46" spans="1:12" ht="15" customHeight="1">
      <c r="A46" s="79" t="s">
        <v>176</v>
      </c>
      <c r="B46" s="12" t="s">
        <v>168</v>
      </c>
      <c r="C46" s="155"/>
      <c r="D46" s="161"/>
      <c r="E46" s="162">
        <v>1</v>
      </c>
      <c r="F46" s="158">
        <f>(F35+F43+F44+F45)*G46</f>
        <v>41.675000000000004</v>
      </c>
      <c r="G46" s="168">
        <f>J8</f>
        <v>0.05</v>
      </c>
      <c r="H46" s="2"/>
      <c r="I46" s="97"/>
      <c r="J46" s="97"/>
      <c r="K46" s="97"/>
      <c r="L46" s="97"/>
    </row>
    <row r="47" spans="1:12" ht="12.75" customHeight="1">
      <c r="A47" s="85" t="s">
        <v>72</v>
      </c>
      <c r="B47" s="12" t="str">
        <f>'Исходные данные'!F84</f>
        <v>продажа 1м3 ПСБ-С-25 Ф</v>
      </c>
      <c r="C47" s="155"/>
      <c r="D47" s="161"/>
      <c r="E47" s="169"/>
      <c r="F47" s="157">
        <f>F48+F56+F57+F58+F59</f>
        <v>875.17499999999995</v>
      </c>
      <c r="G47" s="15"/>
      <c r="H47" s="2"/>
      <c r="I47" s="97"/>
      <c r="J47" s="97"/>
      <c r="K47" s="97"/>
      <c r="L47" s="97"/>
    </row>
    <row r="48" spans="1:12" ht="15" customHeight="1">
      <c r="A48" s="328" t="s">
        <v>114</v>
      </c>
      <c r="B48" s="12" t="s">
        <v>161</v>
      </c>
      <c r="C48" s="155"/>
      <c r="D48" s="161"/>
      <c r="E48" s="169"/>
      <c r="F48" s="158">
        <f>F49+F50+F51</f>
        <v>540</v>
      </c>
      <c r="G48" s="15"/>
      <c r="H48" s="2"/>
      <c r="I48" s="97"/>
      <c r="J48" s="97"/>
      <c r="K48" s="97"/>
      <c r="L48" s="97"/>
    </row>
    <row r="49" spans="1:12" ht="12.75" customHeight="1">
      <c r="A49" s="296"/>
      <c r="B49" s="159"/>
      <c r="C49" s="160"/>
      <c r="D49" s="161">
        <v>45</v>
      </c>
      <c r="E49" s="162">
        <v>12</v>
      </c>
      <c r="F49" s="163">
        <f t="shared" ref="F49:F58" si="4">D49*E49</f>
        <v>540</v>
      </c>
      <c r="G49" s="15"/>
      <c r="H49" s="2"/>
      <c r="I49" s="97"/>
      <c r="J49" s="97"/>
      <c r="K49" s="97"/>
      <c r="L49" s="97"/>
    </row>
    <row r="50" spans="1:12" ht="12.75" customHeight="1">
      <c r="A50" s="296"/>
      <c r="B50" s="159"/>
      <c r="C50" s="155"/>
      <c r="D50" s="161"/>
      <c r="E50" s="162"/>
      <c r="F50" s="163">
        <f t="shared" si="4"/>
        <v>0</v>
      </c>
      <c r="G50" s="15"/>
      <c r="H50" s="2"/>
      <c r="I50" s="97"/>
      <c r="J50" s="97"/>
      <c r="K50" s="97"/>
      <c r="L50" s="97"/>
    </row>
    <row r="51" spans="1:12" ht="12.75" customHeight="1">
      <c r="A51" s="296"/>
      <c r="B51" s="59" t="s">
        <v>177</v>
      </c>
      <c r="C51" s="155"/>
      <c r="D51" s="161"/>
      <c r="E51" s="162"/>
      <c r="F51" s="163">
        <f t="shared" si="4"/>
        <v>0</v>
      </c>
      <c r="G51" s="15"/>
      <c r="H51" s="2"/>
      <c r="I51" s="97"/>
      <c r="J51" s="97"/>
      <c r="K51" s="97"/>
      <c r="L51" s="97"/>
    </row>
    <row r="52" spans="1:12" ht="12.75" customHeight="1">
      <c r="A52" s="296"/>
      <c r="B52" s="59" t="s">
        <v>169</v>
      </c>
      <c r="C52" s="155"/>
      <c r="D52" s="161"/>
      <c r="E52" s="162"/>
      <c r="F52" s="163">
        <f t="shared" si="4"/>
        <v>0</v>
      </c>
      <c r="G52" s="15"/>
      <c r="H52" s="2"/>
      <c r="I52" s="97"/>
      <c r="J52" s="97"/>
      <c r="K52" s="97"/>
      <c r="L52" s="97"/>
    </row>
    <row r="53" spans="1:12" ht="12.75" customHeight="1">
      <c r="A53" s="296"/>
      <c r="B53" s="59" t="s">
        <v>170</v>
      </c>
      <c r="C53" s="155"/>
      <c r="D53" s="161"/>
      <c r="E53" s="162"/>
      <c r="F53" s="163">
        <f t="shared" si="4"/>
        <v>0</v>
      </c>
      <c r="G53" s="15"/>
      <c r="H53" s="2"/>
      <c r="I53" s="97"/>
      <c r="J53" s="97"/>
      <c r="K53" s="97"/>
      <c r="L53" s="97"/>
    </row>
    <row r="54" spans="1:12" ht="12.75" customHeight="1">
      <c r="A54" s="296"/>
      <c r="B54" s="59" t="s">
        <v>171</v>
      </c>
      <c r="C54" s="155"/>
      <c r="D54" s="161"/>
      <c r="E54" s="162"/>
      <c r="F54" s="163">
        <f t="shared" si="4"/>
        <v>0</v>
      </c>
      <c r="G54" s="15"/>
      <c r="H54" s="2"/>
      <c r="I54" s="97"/>
      <c r="J54" s="97"/>
      <c r="K54" s="97"/>
      <c r="L54" s="97"/>
    </row>
    <row r="55" spans="1:12" ht="12.75" customHeight="1">
      <c r="A55" s="297"/>
      <c r="B55" s="59" t="s">
        <v>172</v>
      </c>
      <c r="C55" s="155"/>
      <c r="D55" s="161"/>
      <c r="E55" s="162"/>
      <c r="F55" s="163">
        <f t="shared" si="4"/>
        <v>0</v>
      </c>
      <c r="G55" s="15"/>
      <c r="H55" s="2"/>
      <c r="I55" s="97"/>
      <c r="J55" s="97"/>
      <c r="K55" s="97"/>
      <c r="L55" s="97"/>
    </row>
    <row r="56" spans="1:12" ht="15" customHeight="1">
      <c r="A56" s="79" t="s">
        <v>116</v>
      </c>
      <c r="B56" s="12" t="s">
        <v>162</v>
      </c>
      <c r="C56" s="164" t="s">
        <v>163</v>
      </c>
      <c r="D56" s="165">
        <v>7</v>
      </c>
      <c r="E56" s="162">
        <v>25</v>
      </c>
      <c r="F56" s="158">
        <f t="shared" si="4"/>
        <v>175</v>
      </c>
      <c r="G56" s="170">
        <f>F56+F57+F58</f>
        <v>293.5</v>
      </c>
      <c r="H56" s="2"/>
      <c r="I56" s="97"/>
      <c r="J56" s="97"/>
      <c r="K56" s="97"/>
      <c r="L56" s="97"/>
    </row>
    <row r="57" spans="1:12" ht="12.75" customHeight="1">
      <c r="A57" s="79" t="s">
        <v>117</v>
      </c>
      <c r="B57" s="12" t="s">
        <v>164</v>
      </c>
      <c r="C57" s="164" t="s">
        <v>165</v>
      </c>
      <c r="D57" s="165">
        <v>33</v>
      </c>
      <c r="E57" s="162">
        <v>2.5</v>
      </c>
      <c r="F57" s="158">
        <f t="shared" si="4"/>
        <v>82.5</v>
      </c>
      <c r="G57" s="170"/>
      <c r="H57" s="2"/>
      <c r="I57" s="97"/>
      <c r="J57" s="97"/>
      <c r="K57" s="97"/>
      <c r="L57" s="97"/>
    </row>
    <row r="58" spans="1:12" ht="12.75" customHeight="1">
      <c r="A58" s="79" t="s">
        <v>178</v>
      </c>
      <c r="B58" s="12" t="s">
        <v>166</v>
      </c>
      <c r="C58" s="164" t="s">
        <v>165</v>
      </c>
      <c r="D58" s="165">
        <v>36</v>
      </c>
      <c r="E58" s="162">
        <v>1</v>
      </c>
      <c r="F58" s="158">
        <f t="shared" si="4"/>
        <v>36</v>
      </c>
      <c r="G58" s="15"/>
      <c r="H58" s="2"/>
      <c r="I58" s="97"/>
      <c r="J58" s="97"/>
      <c r="K58" s="97"/>
      <c r="L58" s="97"/>
    </row>
    <row r="59" spans="1:12" ht="12.75" customHeight="1">
      <c r="A59" s="79" t="s">
        <v>179</v>
      </c>
      <c r="B59" s="12" t="s">
        <v>168</v>
      </c>
      <c r="C59" s="155"/>
      <c r="D59" s="161"/>
      <c r="E59" s="162">
        <v>1</v>
      </c>
      <c r="F59" s="158">
        <f>(F48+F56+F57+F58)*G59</f>
        <v>41.675000000000004</v>
      </c>
      <c r="G59" s="168">
        <f>J9</f>
        <v>0.05</v>
      </c>
      <c r="H59" s="2"/>
      <c r="I59" s="97"/>
      <c r="J59" s="97"/>
      <c r="K59" s="97"/>
      <c r="L59" s="97"/>
    </row>
    <row r="60" spans="1:12" ht="15" customHeight="1">
      <c r="A60" s="85" t="s">
        <v>74</v>
      </c>
      <c r="B60" s="12" t="s">
        <v>332</v>
      </c>
      <c r="C60" s="155"/>
      <c r="D60" s="161"/>
      <c r="E60" s="169"/>
      <c r="F60" s="157">
        <f>F61+F69+F70+F71+F72</f>
        <v>969.67499999999995</v>
      </c>
      <c r="G60" s="15"/>
      <c r="H60" s="2"/>
      <c r="I60" s="97"/>
      <c r="J60" s="97"/>
      <c r="K60" s="97"/>
      <c r="L60" s="97"/>
    </row>
    <row r="61" spans="1:12" ht="15" customHeight="1">
      <c r="A61" s="328" t="s">
        <v>118</v>
      </c>
      <c r="B61" s="12" t="s">
        <v>161</v>
      </c>
      <c r="C61" s="155"/>
      <c r="D61" s="161"/>
      <c r="E61" s="169"/>
      <c r="F61" s="158">
        <f>F62+F63+F64</f>
        <v>630</v>
      </c>
      <c r="G61" s="15"/>
      <c r="H61" s="2"/>
      <c r="I61" s="97"/>
      <c r="J61" s="97"/>
      <c r="K61" s="97"/>
      <c r="L61" s="97"/>
    </row>
    <row r="62" spans="1:12" ht="15" customHeight="1">
      <c r="A62" s="296"/>
      <c r="B62" s="159"/>
      <c r="C62" s="171"/>
      <c r="D62" s="161">
        <v>45</v>
      </c>
      <c r="E62" s="162">
        <v>14</v>
      </c>
      <c r="F62" s="163">
        <f t="shared" ref="F62:F71" si="5">D62*E62</f>
        <v>630</v>
      </c>
      <c r="G62" s="15"/>
      <c r="H62" s="2"/>
      <c r="I62" s="97"/>
      <c r="J62" s="97"/>
      <c r="K62" s="97"/>
      <c r="L62" s="97"/>
    </row>
    <row r="63" spans="1:12" ht="15" customHeight="1">
      <c r="A63" s="296"/>
      <c r="B63" s="159"/>
      <c r="C63" s="155"/>
      <c r="D63" s="161"/>
      <c r="E63" s="162"/>
      <c r="F63" s="163">
        <f t="shared" si="5"/>
        <v>0</v>
      </c>
      <c r="G63" s="15"/>
      <c r="H63" s="2"/>
      <c r="I63" s="97"/>
      <c r="J63" s="97"/>
      <c r="K63" s="97"/>
      <c r="L63" s="97"/>
    </row>
    <row r="64" spans="1:12" ht="15" customHeight="1">
      <c r="A64" s="296"/>
      <c r="B64" s="159"/>
      <c r="C64" s="155"/>
      <c r="D64" s="161"/>
      <c r="E64" s="162"/>
      <c r="F64" s="163">
        <f t="shared" si="5"/>
        <v>0</v>
      </c>
      <c r="G64" s="15"/>
      <c r="H64" s="2"/>
      <c r="I64" s="97"/>
      <c r="J64" s="97"/>
      <c r="K64" s="97"/>
      <c r="L64" s="97"/>
    </row>
    <row r="65" spans="1:12" ht="15" customHeight="1">
      <c r="A65" s="296"/>
      <c r="B65" s="59" t="s">
        <v>169</v>
      </c>
      <c r="C65" s="155"/>
      <c r="D65" s="161"/>
      <c r="E65" s="162"/>
      <c r="F65" s="163">
        <f t="shared" si="5"/>
        <v>0</v>
      </c>
      <c r="G65" s="15"/>
      <c r="H65" s="2"/>
      <c r="I65" s="97"/>
      <c r="J65" s="97"/>
      <c r="K65" s="97"/>
      <c r="L65" s="97"/>
    </row>
    <row r="66" spans="1:12" ht="15" customHeight="1">
      <c r="A66" s="296"/>
      <c r="B66" s="59" t="s">
        <v>170</v>
      </c>
      <c r="C66" s="155"/>
      <c r="D66" s="161"/>
      <c r="E66" s="162"/>
      <c r="F66" s="163">
        <f t="shared" si="5"/>
        <v>0</v>
      </c>
      <c r="G66" s="15"/>
      <c r="H66" s="2"/>
      <c r="I66" s="97"/>
      <c r="J66" s="97"/>
      <c r="K66" s="97"/>
      <c r="L66" s="97"/>
    </row>
    <row r="67" spans="1:12" ht="15" customHeight="1">
      <c r="A67" s="296"/>
      <c r="B67" s="59" t="s">
        <v>171</v>
      </c>
      <c r="C67" s="155"/>
      <c r="D67" s="161"/>
      <c r="E67" s="162"/>
      <c r="F67" s="163">
        <f t="shared" si="5"/>
        <v>0</v>
      </c>
      <c r="G67" s="15"/>
      <c r="H67" s="2"/>
      <c r="I67" s="97"/>
      <c r="J67" s="97"/>
      <c r="K67" s="97"/>
      <c r="L67" s="97"/>
    </row>
    <row r="68" spans="1:12" ht="15" customHeight="1">
      <c r="A68" s="297"/>
      <c r="B68" s="59" t="s">
        <v>172</v>
      </c>
      <c r="C68" s="155"/>
      <c r="D68" s="161"/>
      <c r="E68" s="162"/>
      <c r="F68" s="163">
        <f t="shared" si="5"/>
        <v>0</v>
      </c>
      <c r="G68" s="15"/>
      <c r="H68" s="2"/>
      <c r="I68" s="97"/>
      <c r="J68" s="97"/>
      <c r="K68" s="97"/>
      <c r="L68" s="97"/>
    </row>
    <row r="69" spans="1:12" ht="15" customHeight="1">
      <c r="A69" s="79" t="s">
        <v>119</v>
      </c>
      <c r="B69" s="12" t="s">
        <v>162</v>
      </c>
      <c r="C69" s="164" t="s">
        <v>163</v>
      </c>
      <c r="D69" s="165">
        <v>7</v>
      </c>
      <c r="E69" s="162">
        <v>25</v>
      </c>
      <c r="F69" s="158">
        <f t="shared" si="5"/>
        <v>175</v>
      </c>
      <c r="G69" s="170">
        <f>F69+F70+F71</f>
        <v>293.5</v>
      </c>
      <c r="H69" s="2"/>
      <c r="I69" s="97"/>
      <c r="J69" s="97"/>
      <c r="K69" s="97"/>
      <c r="L69" s="172"/>
    </row>
    <row r="70" spans="1:12" ht="15" customHeight="1">
      <c r="A70" s="79" t="s">
        <v>120</v>
      </c>
      <c r="B70" s="12" t="s">
        <v>164</v>
      </c>
      <c r="C70" s="164" t="s">
        <v>165</v>
      </c>
      <c r="D70" s="165">
        <v>33</v>
      </c>
      <c r="E70" s="162">
        <v>2.5</v>
      </c>
      <c r="F70" s="158">
        <f t="shared" si="5"/>
        <v>82.5</v>
      </c>
      <c r="G70" s="170"/>
      <c r="H70" s="2"/>
      <c r="I70" s="97"/>
      <c r="J70" s="97"/>
      <c r="K70" s="97"/>
      <c r="L70" s="97"/>
    </row>
    <row r="71" spans="1:12" ht="15" customHeight="1">
      <c r="A71" s="79" t="s">
        <v>180</v>
      </c>
      <c r="B71" s="12" t="s">
        <v>166</v>
      </c>
      <c r="C71" s="164" t="s">
        <v>165</v>
      </c>
      <c r="D71" s="165">
        <v>36</v>
      </c>
      <c r="E71" s="162">
        <v>1</v>
      </c>
      <c r="F71" s="158">
        <f t="shared" si="5"/>
        <v>36</v>
      </c>
      <c r="G71" s="15"/>
      <c r="H71" s="2"/>
      <c r="I71" s="97"/>
      <c r="J71" s="97"/>
      <c r="K71" s="97"/>
      <c r="L71" s="97"/>
    </row>
    <row r="72" spans="1:12" ht="15" customHeight="1">
      <c r="A72" s="79" t="s">
        <v>181</v>
      </c>
      <c r="B72" s="12" t="s">
        <v>168</v>
      </c>
      <c r="C72" s="155"/>
      <c r="D72" s="161"/>
      <c r="E72" s="162"/>
      <c r="F72" s="158">
        <f>(F61+F69+F70+F71)*G72</f>
        <v>46.175000000000004</v>
      </c>
      <c r="G72" s="168">
        <f>J10</f>
        <v>0.05</v>
      </c>
      <c r="H72" s="2"/>
      <c r="I72" s="97"/>
      <c r="J72" s="97"/>
      <c r="K72" s="97"/>
      <c r="L72" s="97"/>
    </row>
    <row r="73" spans="1:12" ht="18" customHeight="1">
      <c r="A73" s="85" t="s">
        <v>182</v>
      </c>
      <c r="B73" s="12" t="s">
        <v>333</v>
      </c>
      <c r="C73" s="155"/>
      <c r="D73" s="161"/>
      <c r="E73" s="169"/>
      <c r="F73" s="163">
        <f>F74+F82+F83+F84+F85</f>
        <v>1181.25</v>
      </c>
      <c r="G73" s="15"/>
      <c r="H73" s="2"/>
      <c r="I73" s="97"/>
      <c r="J73" s="97"/>
      <c r="K73" s="97"/>
      <c r="L73" s="97"/>
    </row>
    <row r="74" spans="1:12" ht="15" customHeight="1">
      <c r="A74" s="328" t="s">
        <v>121</v>
      </c>
      <c r="B74" s="12" t="s">
        <v>161</v>
      </c>
      <c r="C74" s="155"/>
      <c r="D74" s="161"/>
      <c r="E74" s="169"/>
      <c r="F74" s="163">
        <f>F75+F76+F77</f>
        <v>1125</v>
      </c>
      <c r="G74" s="15"/>
      <c r="H74" s="2"/>
      <c r="I74" s="97"/>
      <c r="J74" s="97"/>
      <c r="K74" s="97"/>
      <c r="L74" s="97"/>
    </row>
    <row r="75" spans="1:12" ht="15" customHeight="1">
      <c r="A75" s="296"/>
      <c r="B75" s="59" t="s">
        <v>183</v>
      </c>
      <c r="C75" s="155"/>
      <c r="D75" s="161">
        <v>45</v>
      </c>
      <c r="E75" s="162">
        <v>25</v>
      </c>
      <c r="F75" s="163">
        <f t="shared" ref="F75:F84" si="6">D75*E75</f>
        <v>1125</v>
      </c>
      <c r="G75" s="15"/>
      <c r="H75" s="2"/>
      <c r="I75" s="97"/>
      <c r="J75" s="97"/>
      <c r="K75" s="97"/>
      <c r="L75" s="97"/>
    </row>
    <row r="76" spans="1:12" ht="15" customHeight="1">
      <c r="A76" s="296"/>
      <c r="B76" s="59" t="s">
        <v>184</v>
      </c>
      <c r="C76" s="155"/>
      <c r="D76" s="161"/>
      <c r="E76" s="162">
        <v>0</v>
      </c>
      <c r="F76" s="163">
        <f t="shared" si="6"/>
        <v>0</v>
      </c>
      <c r="G76" s="15"/>
      <c r="H76" s="2"/>
      <c r="I76" s="97"/>
      <c r="J76" s="97"/>
      <c r="K76" s="97"/>
      <c r="L76" s="97"/>
    </row>
    <row r="77" spans="1:12" ht="15" customHeight="1">
      <c r="A77" s="296"/>
      <c r="B77" s="59" t="s">
        <v>177</v>
      </c>
      <c r="C77" s="155"/>
      <c r="D77" s="161"/>
      <c r="E77" s="162">
        <v>0</v>
      </c>
      <c r="F77" s="163">
        <f t="shared" si="6"/>
        <v>0</v>
      </c>
      <c r="G77" s="15"/>
      <c r="H77" s="2"/>
      <c r="I77" s="97"/>
      <c r="J77" s="97"/>
      <c r="K77" s="97"/>
      <c r="L77" s="97"/>
    </row>
    <row r="78" spans="1:12" ht="15" customHeight="1">
      <c r="A78" s="296"/>
      <c r="B78" s="12" t="s">
        <v>162</v>
      </c>
      <c r="C78" s="164" t="s">
        <v>163</v>
      </c>
      <c r="D78" s="165">
        <v>7</v>
      </c>
      <c r="E78" s="162">
        <v>25</v>
      </c>
      <c r="F78" s="163">
        <f t="shared" si="6"/>
        <v>175</v>
      </c>
      <c r="G78" s="15"/>
      <c r="H78" s="2"/>
      <c r="I78" s="97"/>
      <c r="J78" s="97"/>
      <c r="K78" s="97"/>
      <c r="L78" s="97"/>
    </row>
    <row r="79" spans="1:12" ht="15" customHeight="1">
      <c r="A79" s="296"/>
      <c r="B79" s="12" t="s">
        <v>164</v>
      </c>
      <c r="C79" s="164" t="s">
        <v>165</v>
      </c>
      <c r="D79" s="165">
        <v>33</v>
      </c>
      <c r="E79" s="162">
        <v>2.5</v>
      </c>
      <c r="F79" s="163">
        <f t="shared" si="6"/>
        <v>82.5</v>
      </c>
      <c r="G79" s="15"/>
      <c r="H79" s="2"/>
      <c r="I79" s="97"/>
      <c r="J79" s="97"/>
      <c r="K79" s="97"/>
      <c r="L79" s="97"/>
    </row>
    <row r="80" spans="1:12" ht="15" customHeight="1">
      <c r="A80" s="296"/>
      <c r="B80" s="12" t="s">
        <v>166</v>
      </c>
      <c r="C80" s="164" t="s">
        <v>165</v>
      </c>
      <c r="D80" s="165">
        <v>36</v>
      </c>
      <c r="E80" s="162">
        <v>1</v>
      </c>
      <c r="F80" s="163">
        <f t="shared" si="6"/>
        <v>36</v>
      </c>
      <c r="G80" s="15"/>
      <c r="H80" s="2"/>
      <c r="I80" s="97"/>
      <c r="J80" s="97"/>
      <c r="K80" s="97"/>
      <c r="L80" s="97"/>
    </row>
    <row r="81" spans="1:12" ht="15" customHeight="1">
      <c r="A81" s="297"/>
      <c r="B81" s="12" t="s">
        <v>168</v>
      </c>
      <c r="C81" s="155"/>
      <c r="D81" s="161"/>
      <c r="E81" s="162"/>
      <c r="F81" s="163">
        <f>(F78+F79+F80)*G72</f>
        <v>14.675000000000001</v>
      </c>
      <c r="G81" s="168">
        <f>J10</f>
        <v>0.05</v>
      </c>
      <c r="H81" s="2"/>
      <c r="I81" s="97"/>
      <c r="J81" s="97"/>
      <c r="K81" s="97"/>
      <c r="L81" s="97"/>
    </row>
    <row r="82" spans="1:12" ht="13.2" hidden="1" customHeight="1">
      <c r="A82" s="79" t="s">
        <v>122</v>
      </c>
      <c r="B82" s="12" t="s">
        <v>162</v>
      </c>
      <c r="C82" s="164" t="s">
        <v>163</v>
      </c>
      <c r="D82" s="161"/>
      <c r="E82" s="162">
        <v>0</v>
      </c>
      <c r="F82" s="163">
        <f t="shared" si="6"/>
        <v>0</v>
      </c>
      <c r="G82" s="170">
        <f>F82+F83+F84</f>
        <v>0</v>
      </c>
      <c r="H82" s="2"/>
      <c r="I82" s="97"/>
      <c r="J82" s="97"/>
      <c r="K82" s="97"/>
      <c r="L82" s="97"/>
    </row>
    <row r="83" spans="1:12" ht="13.2" hidden="1" customHeight="1">
      <c r="A83" s="79" t="s">
        <v>123</v>
      </c>
      <c r="B83" s="12" t="s">
        <v>164</v>
      </c>
      <c r="C83" s="164" t="s">
        <v>165</v>
      </c>
      <c r="D83" s="161"/>
      <c r="E83" s="162">
        <v>0.05</v>
      </c>
      <c r="F83" s="163">
        <f t="shared" si="6"/>
        <v>0</v>
      </c>
      <c r="G83" s="170"/>
      <c r="H83" s="2"/>
      <c r="I83" s="97"/>
      <c r="J83" s="97"/>
      <c r="K83" s="97"/>
      <c r="L83" s="97"/>
    </row>
    <row r="84" spans="1:12" ht="13.2" hidden="1" customHeight="1">
      <c r="A84" s="79" t="s">
        <v>185</v>
      </c>
      <c r="B84" s="12" t="s">
        <v>166</v>
      </c>
      <c r="C84" s="164" t="s">
        <v>165</v>
      </c>
      <c r="D84" s="161"/>
      <c r="E84" s="162">
        <v>0.2</v>
      </c>
      <c r="F84" s="163">
        <f t="shared" si="6"/>
        <v>0</v>
      </c>
      <c r="G84" s="15"/>
      <c r="H84" s="2"/>
      <c r="I84" s="97"/>
      <c r="J84" s="97"/>
      <c r="K84" s="97"/>
      <c r="L84" s="97"/>
    </row>
    <row r="85" spans="1:12" ht="13.2" hidden="1" customHeight="1">
      <c r="A85" s="79" t="s">
        <v>186</v>
      </c>
      <c r="B85" s="12" t="s">
        <v>168</v>
      </c>
      <c r="C85" s="155"/>
      <c r="D85" s="161"/>
      <c r="E85" s="162"/>
      <c r="F85" s="163">
        <f>(F74+F82+F83+F84)*G85</f>
        <v>56.25</v>
      </c>
      <c r="G85" s="168">
        <f>J11</f>
        <v>0.05</v>
      </c>
      <c r="H85" s="2"/>
      <c r="I85" s="97"/>
      <c r="J85" s="97"/>
      <c r="K85" s="97"/>
      <c r="L85" s="97"/>
    </row>
    <row r="86" spans="1:12" ht="14.25" hidden="1" customHeight="1">
      <c r="A86" s="85" t="s">
        <v>187</v>
      </c>
      <c r="B86" s="12" t="str">
        <f>'Исходные данные'!A95</f>
        <v>Продукция (услуга, работа)</v>
      </c>
      <c r="C86" s="155"/>
      <c r="D86" s="161"/>
      <c r="E86" s="169"/>
      <c r="F86" s="163">
        <f>F87+F95+F96+F97+F98</f>
        <v>0</v>
      </c>
      <c r="G86" s="15"/>
      <c r="H86" s="2"/>
      <c r="I86" s="97"/>
      <c r="J86" s="97"/>
      <c r="K86" s="97"/>
      <c r="L86" s="97"/>
    </row>
    <row r="87" spans="1:12" ht="15" customHeight="1">
      <c r="A87" s="328" t="s">
        <v>124</v>
      </c>
      <c r="B87" s="12" t="s">
        <v>161</v>
      </c>
      <c r="C87" s="155"/>
      <c r="D87" s="161"/>
      <c r="E87" s="169"/>
      <c r="F87" s="163">
        <f>F88+F89+F90</f>
        <v>0</v>
      </c>
      <c r="G87" s="15"/>
      <c r="H87" s="2"/>
      <c r="I87" s="97"/>
      <c r="J87" s="97"/>
      <c r="K87" s="97"/>
      <c r="L87" s="97"/>
    </row>
    <row r="88" spans="1:12" ht="15" customHeight="1">
      <c r="A88" s="296"/>
      <c r="B88" s="59" t="s">
        <v>183</v>
      </c>
      <c r="C88" s="155"/>
      <c r="D88" s="161"/>
      <c r="E88" s="162">
        <v>0</v>
      </c>
      <c r="F88" s="163">
        <f t="shared" ref="F88:F97" si="7">D88*E88</f>
        <v>0</v>
      </c>
      <c r="G88" s="15"/>
      <c r="H88" s="2"/>
      <c r="I88" s="97"/>
      <c r="J88" s="97"/>
      <c r="K88" s="97"/>
      <c r="L88" s="97"/>
    </row>
    <row r="89" spans="1:12" ht="15" customHeight="1">
      <c r="A89" s="296"/>
      <c r="B89" s="59" t="s">
        <v>184</v>
      </c>
      <c r="C89" s="155"/>
      <c r="D89" s="161"/>
      <c r="E89" s="162">
        <v>0</v>
      </c>
      <c r="F89" s="163">
        <f t="shared" si="7"/>
        <v>0</v>
      </c>
      <c r="G89" s="15"/>
      <c r="H89" s="2"/>
      <c r="I89" s="97"/>
      <c r="J89" s="97"/>
      <c r="K89" s="97"/>
      <c r="L89" s="97"/>
    </row>
    <row r="90" spans="1:12" ht="15" customHeight="1">
      <c r="A90" s="296"/>
      <c r="B90" s="59" t="s">
        <v>177</v>
      </c>
      <c r="C90" s="155"/>
      <c r="D90" s="161"/>
      <c r="E90" s="162">
        <v>0</v>
      </c>
      <c r="F90" s="163">
        <f t="shared" si="7"/>
        <v>0</v>
      </c>
      <c r="G90" s="15"/>
      <c r="H90" s="2"/>
      <c r="I90" s="97"/>
      <c r="J90" s="97"/>
      <c r="K90" s="97"/>
      <c r="L90" s="97"/>
    </row>
    <row r="91" spans="1:12" ht="15" customHeight="1">
      <c r="A91" s="296"/>
      <c r="B91" s="59" t="s">
        <v>169</v>
      </c>
      <c r="C91" s="155"/>
      <c r="D91" s="161"/>
      <c r="E91" s="162">
        <v>0</v>
      </c>
      <c r="F91" s="163">
        <f t="shared" si="7"/>
        <v>0</v>
      </c>
      <c r="G91" s="15"/>
      <c r="H91" s="2"/>
      <c r="I91" s="97"/>
      <c r="J91" s="97"/>
      <c r="K91" s="97"/>
      <c r="L91" s="97"/>
    </row>
    <row r="92" spans="1:12" ht="15" customHeight="1">
      <c r="A92" s="296"/>
      <c r="B92" s="59" t="s">
        <v>170</v>
      </c>
      <c r="C92" s="155"/>
      <c r="D92" s="161"/>
      <c r="E92" s="162">
        <v>0</v>
      </c>
      <c r="F92" s="163">
        <f t="shared" si="7"/>
        <v>0</v>
      </c>
      <c r="G92" s="15"/>
      <c r="H92" s="2"/>
      <c r="I92" s="97"/>
      <c r="J92" s="97"/>
      <c r="K92" s="97"/>
      <c r="L92" s="97"/>
    </row>
    <row r="93" spans="1:12" ht="15" customHeight="1">
      <c r="A93" s="296"/>
      <c r="B93" s="59" t="s">
        <v>171</v>
      </c>
      <c r="C93" s="155"/>
      <c r="D93" s="161"/>
      <c r="E93" s="162">
        <v>0</v>
      </c>
      <c r="F93" s="163">
        <f t="shared" si="7"/>
        <v>0</v>
      </c>
      <c r="G93" s="15"/>
      <c r="H93" s="2"/>
      <c r="I93" s="97"/>
      <c r="J93" s="97"/>
      <c r="K93" s="97"/>
      <c r="L93" s="97"/>
    </row>
    <row r="94" spans="1:12" ht="15" customHeight="1">
      <c r="A94" s="297"/>
      <c r="B94" s="59" t="s">
        <v>172</v>
      </c>
      <c r="C94" s="155"/>
      <c r="D94" s="161"/>
      <c r="E94" s="162">
        <v>0</v>
      </c>
      <c r="F94" s="163">
        <f t="shared" si="7"/>
        <v>0</v>
      </c>
      <c r="G94" s="15"/>
      <c r="H94" s="2"/>
      <c r="I94" s="97"/>
      <c r="J94" s="97"/>
      <c r="K94" s="97"/>
      <c r="L94" s="97"/>
    </row>
    <row r="95" spans="1:12" ht="13.2" hidden="1" customHeight="1">
      <c r="A95" s="79" t="s">
        <v>125</v>
      </c>
      <c r="B95" s="12" t="s">
        <v>162</v>
      </c>
      <c r="C95" s="164" t="s">
        <v>163</v>
      </c>
      <c r="D95" s="161"/>
      <c r="E95" s="162">
        <v>0</v>
      </c>
      <c r="F95" s="163">
        <f t="shared" si="7"/>
        <v>0</v>
      </c>
      <c r="G95" s="170">
        <f>F95+F96+F97</f>
        <v>0</v>
      </c>
      <c r="H95" s="2"/>
      <c r="I95" s="97"/>
      <c r="J95" s="97"/>
      <c r="K95" s="97"/>
      <c r="L95" s="97"/>
    </row>
    <row r="96" spans="1:12" ht="13.2" hidden="1" customHeight="1">
      <c r="A96" s="79" t="s">
        <v>126</v>
      </c>
      <c r="B96" s="12" t="s">
        <v>164</v>
      </c>
      <c r="C96" s="164" t="s">
        <v>165</v>
      </c>
      <c r="D96" s="161"/>
      <c r="E96" s="162">
        <v>0.05</v>
      </c>
      <c r="F96" s="163">
        <f t="shared" si="7"/>
        <v>0</v>
      </c>
      <c r="G96" s="170"/>
      <c r="H96" s="2"/>
      <c r="I96" s="97"/>
      <c r="J96" s="97"/>
      <c r="K96" s="97"/>
      <c r="L96" s="97"/>
    </row>
    <row r="97" spans="1:12" ht="13.2" hidden="1" customHeight="1">
      <c r="A97" s="79" t="s">
        <v>188</v>
      </c>
      <c r="B97" s="12" t="s">
        <v>166</v>
      </c>
      <c r="C97" s="164" t="s">
        <v>165</v>
      </c>
      <c r="D97" s="161"/>
      <c r="E97" s="162">
        <v>0.2</v>
      </c>
      <c r="F97" s="163">
        <f t="shared" si="7"/>
        <v>0</v>
      </c>
      <c r="G97" s="15"/>
      <c r="H97" s="2"/>
      <c r="I97" s="97"/>
      <c r="J97" s="97"/>
      <c r="K97" s="97"/>
      <c r="L97" s="97"/>
    </row>
    <row r="98" spans="1:12" ht="13.2" hidden="1" customHeight="1">
      <c r="A98" s="79" t="s">
        <v>189</v>
      </c>
      <c r="B98" s="12" t="s">
        <v>168</v>
      </c>
      <c r="C98" s="155"/>
      <c r="D98" s="161"/>
      <c r="E98" s="162"/>
      <c r="F98" s="163">
        <f>(F87+F95+F96+F97)*G98</f>
        <v>0</v>
      </c>
      <c r="G98" s="168">
        <f>J12</f>
        <v>0.05</v>
      </c>
      <c r="H98" s="2"/>
      <c r="I98" s="97"/>
      <c r="J98" s="97"/>
      <c r="K98" s="97"/>
      <c r="L98" s="97"/>
    </row>
    <row r="99" spans="1:12" ht="12.75" hidden="1" customHeight="1">
      <c r="A99" s="85" t="s">
        <v>190</v>
      </c>
      <c r="B99" s="12" t="str">
        <f>'Исходные данные'!A96</f>
        <v>Продукция (услуга, работа)</v>
      </c>
      <c r="C99" s="155"/>
      <c r="D99" s="161"/>
      <c r="E99" s="169"/>
      <c r="F99" s="163">
        <f>F100+F108+F109+F110+F111</f>
        <v>0</v>
      </c>
      <c r="G99" s="15"/>
      <c r="H99" s="2"/>
      <c r="I99" s="97"/>
      <c r="J99" s="97"/>
      <c r="K99" s="97"/>
      <c r="L99" s="97"/>
    </row>
    <row r="100" spans="1:12" ht="15" customHeight="1">
      <c r="A100" s="328" t="s">
        <v>127</v>
      </c>
      <c r="B100" s="12" t="s">
        <v>161</v>
      </c>
      <c r="C100" s="155"/>
      <c r="D100" s="161"/>
      <c r="E100" s="169"/>
      <c r="F100" s="163">
        <f>F101+F102+F103</f>
        <v>0</v>
      </c>
      <c r="G100" s="15"/>
      <c r="H100" s="2"/>
      <c r="I100" s="97"/>
      <c r="J100" s="97"/>
      <c r="K100" s="97"/>
      <c r="L100" s="97"/>
    </row>
    <row r="101" spans="1:12" ht="15" customHeight="1">
      <c r="A101" s="296"/>
      <c r="B101" s="59" t="s">
        <v>183</v>
      </c>
      <c r="C101" s="155"/>
      <c r="D101" s="161"/>
      <c r="E101" s="162">
        <v>0</v>
      </c>
      <c r="F101" s="163">
        <f t="shared" ref="F101:F110" si="8">D101*E101</f>
        <v>0</v>
      </c>
      <c r="G101" s="15"/>
      <c r="H101" s="2"/>
      <c r="I101" s="97"/>
      <c r="J101" s="97"/>
      <c r="K101" s="97"/>
      <c r="L101" s="97"/>
    </row>
    <row r="102" spans="1:12" ht="15" customHeight="1">
      <c r="A102" s="296"/>
      <c r="B102" s="59" t="s">
        <v>184</v>
      </c>
      <c r="C102" s="155"/>
      <c r="D102" s="161"/>
      <c r="E102" s="162">
        <v>0</v>
      </c>
      <c r="F102" s="163">
        <f t="shared" si="8"/>
        <v>0</v>
      </c>
      <c r="G102" s="15"/>
      <c r="H102" s="2"/>
      <c r="I102" s="97"/>
      <c r="J102" s="97"/>
      <c r="K102" s="97"/>
      <c r="L102" s="97"/>
    </row>
    <row r="103" spans="1:12" ht="15" customHeight="1">
      <c r="A103" s="296"/>
      <c r="B103" s="59" t="s">
        <v>177</v>
      </c>
      <c r="C103" s="155"/>
      <c r="D103" s="161"/>
      <c r="E103" s="162">
        <v>0</v>
      </c>
      <c r="F103" s="163">
        <f t="shared" si="8"/>
        <v>0</v>
      </c>
      <c r="G103" s="15"/>
      <c r="H103" s="2"/>
      <c r="I103" s="97"/>
      <c r="J103" s="97"/>
      <c r="K103" s="97"/>
      <c r="L103" s="97"/>
    </row>
    <row r="104" spans="1:12" ht="15" customHeight="1">
      <c r="A104" s="296"/>
      <c r="B104" s="59" t="s">
        <v>169</v>
      </c>
      <c r="C104" s="155"/>
      <c r="D104" s="161"/>
      <c r="E104" s="162">
        <v>0</v>
      </c>
      <c r="F104" s="163">
        <f t="shared" si="8"/>
        <v>0</v>
      </c>
      <c r="G104" s="15"/>
      <c r="H104" s="2"/>
      <c r="I104" s="97"/>
      <c r="J104" s="97"/>
      <c r="K104" s="97"/>
      <c r="L104" s="97"/>
    </row>
    <row r="105" spans="1:12" ht="15" customHeight="1">
      <c r="A105" s="296"/>
      <c r="B105" s="59" t="s">
        <v>170</v>
      </c>
      <c r="C105" s="155"/>
      <c r="D105" s="161"/>
      <c r="E105" s="162">
        <v>0</v>
      </c>
      <c r="F105" s="163">
        <f t="shared" si="8"/>
        <v>0</v>
      </c>
      <c r="G105" s="15"/>
      <c r="H105" s="2"/>
      <c r="I105" s="97"/>
      <c r="J105" s="97"/>
      <c r="K105" s="97"/>
      <c r="L105" s="97"/>
    </row>
    <row r="106" spans="1:12" ht="15" customHeight="1">
      <c r="A106" s="296"/>
      <c r="B106" s="59" t="s">
        <v>171</v>
      </c>
      <c r="C106" s="155"/>
      <c r="D106" s="161"/>
      <c r="E106" s="162">
        <v>0</v>
      </c>
      <c r="F106" s="163">
        <f t="shared" si="8"/>
        <v>0</v>
      </c>
      <c r="G106" s="15"/>
      <c r="H106" s="2"/>
      <c r="I106" s="97"/>
      <c r="J106" s="97"/>
      <c r="K106" s="97"/>
      <c r="L106" s="97"/>
    </row>
    <row r="107" spans="1:12" ht="15" customHeight="1">
      <c r="A107" s="297"/>
      <c r="B107" s="59" t="s">
        <v>172</v>
      </c>
      <c r="C107" s="155"/>
      <c r="D107" s="161"/>
      <c r="E107" s="162">
        <v>0</v>
      </c>
      <c r="F107" s="163">
        <f t="shared" si="8"/>
        <v>0</v>
      </c>
      <c r="G107" s="15"/>
      <c r="H107" s="2"/>
      <c r="I107" s="97"/>
      <c r="J107" s="97"/>
      <c r="K107" s="97"/>
      <c r="L107" s="97"/>
    </row>
    <row r="108" spans="1:12" ht="13.2" hidden="1" customHeight="1">
      <c r="A108" s="79" t="s">
        <v>128</v>
      </c>
      <c r="B108" s="12" t="s">
        <v>162</v>
      </c>
      <c r="C108" s="164" t="s">
        <v>163</v>
      </c>
      <c r="D108" s="161"/>
      <c r="E108" s="162">
        <v>0</v>
      </c>
      <c r="F108" s="163">
        <f t="shared" si="8"/>
        <v>0</v>
      </c>
      <c r="G108" s="170">
        <f>F108+F109+F110</f>
        <v>0</v>
      </c>
      <c r="H108" s="2"/>
      <c r="I108" s="97"/>
      <c r="J108" s="97"/>
      <c r="K108" s="97"/>
      <c r="L108" s="97"/>
    </row>
    <row r="109" spans="1:12" ht="13.2" hidden="1" customHeight="1">
      <c r="A109" s="79" t="s">
        <v>129</v>
      </c>
      <c r="B109" s="12" t="s">
        <v>164</v>
      </c>
      <c r="C109" s="164" t="s">
        <v>165</v>
      </c>
      <c r="D109" s="161"/>
      <c r="E109" s="162">
        <v>0.05</v>
      </c>
      <c r="F109" s="163">
        <f t="shared" si="8"/>
        <v>0</v>
      </c>
      <c r="G109" s="170"/>
      <c r="H109" s="2"/>
      <c r="I109" s="97"/>
      <c r="J109" s="97"/>
      <c r="K109" s="97"/>
      <c r="L109" s="97"/>
    </row>
    <row r="110" spans="1:12" ht="13.2" hidden="1" customHeight="1">
      <c r="A110" s="79" t="s">
        <v>191</v>
      </c>
      <c r="B110" s="12" t="s">
        <v>166</v>
      </c>
      <c r="C110" s="164" t="s">
        <v>165</v>
      </c>
      <c r="D110" s="161"/>
      <c r="E110" s="162">
        <v>0.2</v>
      </c>
      <c r="F110" s="163">
        <f t="shared" si="8"/>
        <v>0</v>
      </c>
      <c r="G110" s="15"/>
      <c r="H110" s="2"/>
      <c r="I110" s="97"/>
      <c r="J110" s="97"/>
      <c r="K110" s="97"/>
      <c r="L110" s="97"/>
    </row>
    <row r="111" spans="1:12" ht="13.2" hidden="1" customHeight="1">
      <c r="A111" s="79" t="s">
        <v>192</v>
      </c>
      <c r="B111" s="12" t="s">
        <v>168</v>
      </c>
      <c r="C111" s="155"/>
      <c r="D111" s="161"/>
      <c r="E111" s="162"/>
      <c r="F111" s="163">
        <f>(F100+F108+F109+F110)*G111</f>
        <v>0</v>
      </c>
      <c r="G111" s="168">
        <f>J13</f>
        <v>0.05</v>
      </c>
      <c r="H111" s="2"/>
      <c r="I111" s="97"/>
      <c r="J111" s="97"/>
      <c r="K111" s="97"/>
      <c r="L111" s="97"/>
    </row>
    <row r="112" spans="1:12" ht="13.2" hidden="1" customHeight="1">
      <c r="A112" s="85" t="s">
        <v>193</v>
      </c>
      <c r="B112" s="12" t="str">
        <f>'Исходные данные'!A97</f>
        <v>Продукция (услуга, работа)</v>
      </c>
      <c r="C112" s="155"/>
      <c r="D112" s="161"/>
      <c r="E112" s="169"/>
      <c r="F112" s="163">
        <f>F113+F121+F122+F123+F124</f>
        <v>0</v>
      </c>
      <c r="G112" s="15"/>
      <c r="H112" s="2"/>
      <c r="I112" s="97"/>
      <c r="J112" s="97"/>
      <c r="K112" s="97"/>
      <c r="L112" s="97"/>
    </row>
    <row r="113" spans="1:12" ht="15" customHeight="1">
      <c r="A113" s="328" t="s">
        <v>130</v>
      </c>
      <c r="B113" s="12" t="s">
        <v>161</v>
      </c>
      <c r="C113" s="155"/>
      <c r="D113" s="161"/>
      <c r="E113" s="169"/>
      <c r="F113" s="163">
        <f>F114+F115+F116</f>
        <v>0</v>
      </c>
      <c r="G113" s="15"/>
      <c r="H113" s="2"/>
      <c r="I113" s="97"/>
      <c r="J113" s="97"/>
      <c r="K113" s="97"/>
      <c r="L113" s="97"/>
    </row>
    <row r="114" spans="1:12" ht="15" customHeight="1">
      <c r="A114" s="296"/>
      <c r="B114" s="59" t="s">
        <v>183</v>
      </c>
      <c r="C114" s="155"/>
      <c r="D114" s="161"/>
      <c r="E114" s="162">
        <v>0</v>
      </c>
      <c r="F114" s="163">
        <f t="shared" ref="F114:F123" si="9">D114*E114</f>
        <v>0</v>
      </c>
      <c r="G114" s="15"/>
      <c r="H114" s="2"/>
      <c r="I114" s="97"/>
      <c r="J114" s="97"/>
      <c r="K114" s="97"/>
      <c r="L114" s="97"/>
    </row>
    <row r="115" spans="1:12" ht="15" customHeight="1">
      <c r="A115" s="296"/>
      <c r="B115" s="59" t="s">
        <v>184</v>
      </c>
      <c r="C115" s="155"/>
      <c r="D115" s="161"/>
      <c r="E115" s="162">
        <v>0</v>
      </c>
      <c r="F115" s="163">
        <f t="shared" si="9"/>
        <v>0</v>
      </c>
      <c r="G115" s="15"/>
      <c r="H115" s="2"/>
      <c r="I115" s="97"/>
      <c r="J115" s="97"/>
      <c r="K115" s="97"/>
      <c r="L115" s="97"/>
    </row>
    <row r="116" spans="1:12" ht="15" customHeight="1">
      <c r="A116" s="296"/>
      <c r="B116" s="59" t="s">
        <v>177</v>
      </c>
      <c r="C116" s="155"/>
      <c r="D116" s="161"/>
      <c r="E116" s="162">
        <v>0</v>
      </c>
      <c r="F116" s="163">
        <f t="shared" si="9"/>
        <v>0</v>
      </c>
      <c r="G116" s="15"/>
      <c r="H116" s="2"/>
      <c r="I116" s="97"/>
      <c r="J116" s="97"/>
      <c r="K116" s="97"/>
      <c r="L116" s="97"/>
    </row>
    <row r="117" spans="1:12" ht="15" customHeight="1">
      <c r="A117" s="296"/>
      <c r="B117" s="59" t="s">
        <v>169</v>
      </c>
      <c r="C117" s="155"/>
      <c r="D117" s="161"/>
      <c r="E117" s="162">
        <v>0</v>
      </c>
      <c r="F117" s="163">
        <f t="shared" si="9"/>
        <v>0</v>
      </c>
      <c r="G117" s="15"/>
      <c r="H117" s="2"/>
      <c r="I117" s="97"/>
      <c r="J117" s="97"/>
      <c r="K117" s="97"/>
      <c r="L117" s="97"/>
    </row>
    <row r="118" spans="1:12" ht="15" customHeight="1">
      <c r="A118" s="296"/>
      <c r="B118" s="59" t="s">
        <v>170</v>
      </c>
      <c r="C118" s="155"/>
      <c r="D118" s="161"/>
      <c r="E118" s="162">
        <v>0</v>
      </c>
      <c r="F118" s="163">
        <f t="shared" si="9"/>
        <v>0</v>
      </c>
      <c r="G118" s="15"/>
      <c r="H118" s="2"/>
      <c r="I118" s="97"/>
      <c r="J118" s="97"/>
      <c r="K118" s="97"/>
      <c r="L118" s="97"/>
    </row>
    <row r="119" spans="1:12" ht="15" customHeight="1">
      <c r="A119" s="296"/>
      <c r="B119" s="59" t="s">
        <v>171</v>
      </c>
      <c r="C119" s="155"/>
      <c r="D119" s="161"/>
      <c r="E119" s="162">
        <v>0</v>
      </c>
      <c r="F119" s="163">
        <f t="shared" si="9"/>
        <v>0</v>
      </c>
      <c r="G119" s="15"/>
      <c r="H119" s="2"/>
      <c r="I119" s="97"/>
      <c r="J119" s="97"/>
      <c r="K119" s="97"/>
      <c r="L119" s="97"/>
    </row>
    <row r="120" spans="1:12" ht="15" customHeight="1">
      <c r="A120" s="297"/>
      <c r="B120" s="59" t="s">
        <v>172</v>
      </c>
      <c r="C120" s="155"/>
      <c r="D120" s="161"/>
      <c r="E120" s="162">
        <v>0</v>
      </c>
      <c r="F120" s="163">
        <f t="shared" si="9"/>
        <v>0</v>
      </c>
      <c r="G120" s="15"/>
      <c r="H120" s="2"/>
      <c r="I120" s="97"/>
      <c r="J120" s="97"/>
      <c r="K120" s="97"/>
      <c r="L120" s="97"/>
    </row>
    <row r="121" spans="1:12" ht="13.2" hidden="1" customHeight="1">
      <c r="A121" s="79" t="s">
        <v>131</v>
      </c>
      <c r="B121" s="12" t="s">
        <v>162</v>
      </c>
      <c r="C121" s="164" t="s">
        <v>163</v>
      </c>
      <c r="D121" s="161"/>
      <c r="E121" s="162">
        <v>0</v>
      </c>
      <c r="F121" s="163">
        <f t="shared" si="9"/>
        <v>0</v>
      </c>
      <c r="G121" s="170">
        <f>F121+F122+F123</f>
        <v>0</v>
      </c>
      <c r="H121" s="2"/>
      <c r="I121" s="97"/>
      <c r="J121" s="97"/>
      <c r="K121" s="97"/>
      <c r="L121" s="97"/>
    </row>
    <row r="122" spans="1:12" ht="13.2" hidden="1" customHeight="1">
      <c r="A122" s="79" t="s">
        <v>132</v>
      </c>
      <c r="B122" s="12" t="s">
        <v>164</v>
      </c>
      <c r="C122" s="164" t="s">
        <v>165</v>
      </c>
      <c r="D122" s="161"/>
      <c r="E122" s="162">
        <v>0.05</v>
      </c>
      <c r="F122" s="163">
        <f t="shared" si="9"/>
        <v>0</v>
      </c>
      <c r="G122" s="170"/>
      <c r="H122" s="2"/>
      <c r="I122" s="97"/>
      <c r="J122" s="97"/>
      <c r="K122" s="97"/>
      <c r="L122" s="97"/>
    </row>
    <row r="123" spans="1:12" ht="13.2" hidden="1" customHeight="1">
      <c r="A123" s="79" t="s">
        <v>194</v>
      </c>
      <c r="B123" s="12" t="s">
        <v>166</v>
      </c>
      <c r="C123" s="164" t="s">
        <v>165</v>
      </c>
      <c r="D123" s="161"/>
      <c r="E123" s="162">
        <v>0.2</v>
      </c>
      <c r="F123" s="163">
        <f t="shared" si="9"/>
        <v>0</v>
      </c>
      <c r="G123" s="15"/>
      <c r="H123" s="2"/>
      <c r="I123" s="97"/>
      <c r="J123" s="97"/>
      <c r="K123" s="97"/>
      <c r="L123" s="97"/>
    </row>
    <row r="124" spans="1:12" ht="13.2" hidden="1" customHeight="1">
      <c r="A124" s="79" t="s">
        <v>195</v>
      </c>
      <c r="B124" s="12" t="s">
        <v>168</v>
      </c>
      <c r="C124" s="155"/>
      <c r="D124" s="161"/>
      <c r="E124" s="162"/>
      <c r="F124" s="163">
        <f>(F113+F121+F122+F123)*G124</f>
        <v>0</v>
      </c>
      <c r="G124" s="168">
        <f>J14</f>
        <v>0.05</v>
      </c>
      <c r="H124" s="2"/>
      <c r="I124" s="97"/>
      <c r="J124" s="97"/>
      <c r="K124" s="97"/>
      <c r="L124" s="97"/>
    </row>
    <row r="125" spans="1:12" ht="13.2" hidden="1" customHeight="1">
      <c r="A125" s="85" t="s">
        <v>196</v>
      </c>
      <c r="B125" s="12" t="str">
        <f>'Исходные данные'!A98</f>
        <v>Продукция (услуга, работа)</v>
      </c>
      <c r="C125" s="155"/>
      <c r="D125" s="161"/>
      <c r="E125" s="169"/>
      <c r="F125" s="163">
        <f>F126+F134+F135+F136+F137</f>
        <v>0</v>
      </c>
      <c r="G125" s="15"/>
      <c r="H125" s="2"/>
      <c r="I125" s="97"/>
      <c r="J125" s="97"/>
      <c r="K125" s="97"/>
      <c r="L125" s="97"/>
    </row>
    <row r="126" spans="1:12" ht="15" customHeight="1">
      <c r="A126" s="328" t="s">
        <v>133</v>
      </c>
      <c r="B126" s="12" t="s">
        <v>161</v>
      </c>
      <c r="C126" s="155"/>
      <c r="D126" s="161"/>
      <c r="E126" s="169"/>
      <c r="F126" s="163">
        <f>F127+F128+F129</f>
        <v>0</v>
      </c>
      <c r="G126" s="15"/>
      <c r="H126" s="2"/>
      <c r="I126" s="97"/>
      <c r="J126" s="97"/>
      <c r="K126" s="97"/>
      <c r="L126" s="97"/>
    </row>
    <row r="127" spans="1:12" ht="15" customHeight="1">
      <c r="A127" s="296"/>
      <c r="B127" s="59" t="s">
        <v>183</v>
      </c>
      <c r="C127" s="155"/>
      <c r="D127" s="161"/>
      <c r="E127" s="162">
        <v>0</v>
      </c>
      <c r="F127" s="163">
        <f t="shared" ref="F127:F136" si="10">D127*E127</f>
        <v>0</v>
      </c>
      <c r="G127" s="15"/>
      <c r="H127" s="2"/>
      <c r="I127" s="97"/>
      <c r="J127" s="97"/>
      <c r="K127" s="97"/>
      <c r="L127" s="97"/>
    </row>
    <row r="128" spans="1:12" ht="15" customHeight="1">
      <c r="A128" s="296"/>
      <c r="B128" s="59" t="s">
        <v>184</v>
      </c>
      <c r="C128" s="155"/>
      <c r="D128" s="161"/>
      <c r="E128" s="162">
        <v>0</v>
      </c>
      <c r="F128" s="163">
        <f t="shared" si="10"/>
        <v>0</v>
      </c>
      <c r="G128" s="15"/>
      <c r="H128" s="2"/>
      <c r="I128" s="97"/>
      <c r="J128" s="97"/>
      <c r="K128" s="97"/>
      <c r="L128" s="97"/>
    </row>
    <row r="129" spans="1:12" ht="15" customHeight="1">
      <c r="A129" s="296"/>
      <c r="B129" s="59" t="s">
        <v>177</v>
      </c>
      <c r="C129" s="155"/>
      <c r="D129" s="161"/>
      <c r="E129" s="162">
        <v>0</v>
      </c>
      <c r="F129" s="163">
        <f t="shared" si="10"/>
        <v>0</v>
      </c>
      <c r="G129" s="15"/>
      <c r="H129" s="2"/>
      <c r="I129" s="97"/>
      <c r="J129" s="97"/>
      <c r="K129" s="97"/>
      <c r="L129" s="97"/>
    </row>
    <row r="130" spans="1:12" ht="15" customHeight="1">
      <c r="A130" s="296"/>
      <c r="B130" s="59" t="s">
        <v>169</v>
      </c>
      <c r="C130" s="155"/>
      <c r="D130" s="161"/>
      <c r="E130" s="162">
        <v>0</v>
      </c>
      <c r="F130" s="163">
        <f t="shared" si="10"/>
        <v>0</v>
      </c>
      <c r="G130" s="15"/>
      <c r="H130" s="2"/>
      <c r="I130" s="97"/>
      <c r="J130" s="97"/>
      <c r="K130" s="97"/>
      <c r="L130" s="97"/>
    </row>
    <row r="131" spans="1:12" ht="15" customHeight="1">
      <c r="A131" s="296"/>
      <c r="B131" s="59" t="s">
        <v>170</v>
      </c>
      <c r="C131" s="155"/>
      <c r="D131" s="161"/>
      <c r="E131" s="162">
        <v>0</v>
      </c>
      <c r="F131" s="163">
        <f t="shared" si="10"/>
        <v>0</v>
      </c>
      <c r="G131" s="15"/>
      <c r="H131" s="2"/>
      <c r="I131" s="97"/>
      <c r="J131" s="97"/>
      <c r="K131" s="97"/>
      <c r="L131" s="97"/>
    </row>
    <row r="132" spans="1:12" ht="15" customHeight="1">
      <c r="A132" s="296"/>
      <c r="B132" s="59" t="s">
        <v>171</v>
      </c>
      <c r="C132" s="155"/>
      <c r="D132" s="161"/>
      <c r="E132" s="162">
        <v>0</v>
      </c>
      <c r="F132" s="163">
        <f t="shared" si="10"/>
        <v>0</v>
      </c>
      <c r="G132" s="15"/>
      <c r="H132" s="2"/>
      <c r="I132" s="97"/>
      <c r="J132" s="97"/>
      <c r="K132" s="97"/>
      <c r="L132" s="97"/>
    </row>
    <row r="133" spans="1:12" ht="15" customHeight="1">
      <c r="A133" s="297"/>
      <c r="B133" s="59" t="s">
        <v>172</v>
      </c>
      <c r="C133" s="155"/>
      <c r="D133" s="161"/>
      <c r="E133" s="162">
        <v>0</v>
      </c>
      <c r="F133" s="163">
        <f t="shared" si="10"/>
        <v>0</v>
      </c>
      <c r="G133" s="15"/>
      <c r="H133" s="2"/>
      <c r="I133" s="97"/>
      <c r="J133" s="97"/>
      <c r="K133" s="97"/>
      <c r="L133" s="97"/>
    </row>
    <row r="134" spans="1:12" ht="13.2" hidden="1" customHeight="1">
      <c r="A134" s="79" t="s">
        <v>134</v>
      </c>
      <c r="B134" s="12" t="s">
        <v>162</v>
      </c>
      <c r="C134" s="164" t="s">
        <v>163</v>
      </c>
      <c r="D134" s="161"/>
      <c r="E134" s="162">
        <v>0</v>
      </c>
      <c r="F134" s="163">
        <f t="shared" si="10"/>
        <v>0</v>
      </c>
      <c r="G134" s="170">
        <f>F134+F135+F136</f>
        <v>0</v>
      </c>
      <c r="H134" s="2"/>
      <c r="I134" s="97"/>
      <c r="J134" s="97"/>
      <c r="K134" s="97"/>
      <c r="L134" s="97"/>
    </row>
    <row r="135" spans="1:12" ht="13.2" hidden="1" customHeight="1">
      <c r="A135" s="79" t="s">
        <v>135</v>
      </c>
      <c r="B135" s="12" t="s">
        <v>164</v>
      </c>
      <c r="C135" s="164" t="s">
        <v>165</v>
      </c>
      <c r="D135" s="161"/>
      <c r="E135" s="162">
        <v>0.05</v>
      </c>
      <c r="F135" s="163">
        <f t="shared" si="10"/>
        <v>0</v>
      </c>
      <c r="G135" s="170"/>
      <c r="H135" s="2"/>
      <c r="I135" s="97"/>
      <c r="J135" s="97"/>
      <c r="K135" s="97"/>
      <c r="L135" s="97"/>
    </row>
    <row r="136" spans="1:12" ht="13.2" hidden="1" customHeight="1">
      <c r="A136" s="79" t="s">
        <v>197</v>
      </c>
      <c r="B136" s="12" t="s">
        <v>166</v>
      </c>
      <c r="C136" s="164" t="s">
        <v>165</v>
      </c>
      <c r="D136" s="161"/>
      <c r="E136" s="162">
        <v>0.2</v>
      </c>
      <c r="F136" s="163">
        <f t="shared" si="10"/>
        <v>0</v>
      </c>
      <c r="G136" s="15"/>
      <c r="H136" s="2"/>
      <c r="I136" s="97"/>
      <c r="J136" s="97"/>
      <c r="K136" s="97"/>
      <c r="L136" s="97"/>
    </row>
    <row r="137" spans="1:12" ht="13.2" hidden="1" customHeight="1">
      <c r="A137" s="79" t="s">
        <v>198</v>
      </c>
      <c r="B137" s="12" t="s">
        <v>168</v>
      </c>
      <c r="C137" s="155"/>
      <c r="D137" s="161"/>
      <c r="E137" s="162"/>
      <c r="F137" s="163">
        <f>(F126+F134+F135+F136)*G137</f>
        <v>0</v>
      </c>
      <c r="G137" s="168">
        <f>J15</f>
        <v>0.05</v>
      </c>
      <c r="H137" s="2"/>
      <c r="I137" s="97"/>
      <c r="J137" s="97"/>
      <c r="K137" s="97"/>
      <c r="L137" s="97"/>
    </row>
    <row r="138" spans="1:12" ht="15" customHeight="1">
      <c r="A138" s="18"/>
      <c r="B138" s="18"/>
      <c r="C138" s="18"/>
      <c r="D138" s="18"/>
      <c r="E138" s="18"/>
      <c r="F138" s="18"/>
      <c r="G138" s="2"/>
      <c r="H138" s="2"/>
      <c r="I138" s="97"/>
      <c r="J138" s="97"/>
      <c r="K138" s="97"/>
      <c r="L138" s="97"/>
    </row>
  </sheetData>
  <mergeCells count="19">
    <mergeCell ref="A9:A16"/>
    <mergeCell ref="A22:A29"/>
    <mergeCell ref="A113:A120"/>
    <mergeCell ref="A126:A133"/>
    <mergeCell ref="A48:A55"/>
    <mergeCell ref="A61:A68"/>
    <mergeCell ref="A74:A81"/>
    <mergeCell ref="A87:A94"/>
    <mergeCell ref="A100:A107"/>
    <mergeCell ref="A35:A42"/>
    <mergeCell ref="A1:F1"/>
    <mergeCell ref="A2:F2"/>
    <mergeCell ref="A3:F3"/>
    <mergeCell ref="A4:A6"/>
    <mergeCell ref="B4:B6"/>
    <mergeCell ref="C4:C6"/>
    <mergeCell ref="E4:E6"/>
    <mergeCell ref="F4:F6"/>
    <mergeCell ref="D4:D6"/>
  </mergeCells>
  <pageMargins left="1.1811" right="0.59055100000000005" top="0.98425200000000002" bottom="0.98425200000000002" header="0.51181100000000002" footer="0.51181100000000002"/>
  <pageSetup scale="99"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topLeftCell="AF1" workbookViewId="0">
      <selection activeCell="AK2" sqref="AK2:AV31"/>
    </sheetView>
  </sheetViews>
  <sheetFormatPr defaultColWidth="9.109375" defaultRowHeight="11.4" customHeight="1"/>
  <cols>
    <col min="1" max="1" width="5.5546875" style="173" customWidth="1"/>
    <col min="2" max="2" width="26.44140625" style="173" customWidth="1"/>
    <col min="3" max="3" width="10.88671875" style="173" customWidth="1"/>
    <col min="4" max="7" width="9.44140625" style="173" customWidth="1"/>
    <col min="8" max="11" width="10.109375" style="173" customWidth="1"/>
    <col min="12" max="12" width="11.109375" style="173" customWidth="1"/>
    <col min="13" max="13" width="5.5546875" style="173" customWidth="1"/>
    <col min="14" max="14" width="26.5546875" style="173" customWidth="1"/>
    <col min="15" max="18" width="10.109375" style="173" customWidth="1"/>
    <col min="19" max="19" width="11.109375" style="173" customWidth="1"/>
    <col min="20" max="23" width="10.109375" style="173" customWidth="1"/>
    <col min="24" max="24" width="11.109375" style="173" customWidth="1"/>
    <col min="25" max="25" width="5.5546875" style="173" customWidth="1"/>
    <col min="26" max="26" width="26.5546875" style="173" customWidth="1"/>
    <col min="27" max="27" width="9.109375" style="173" customWidth="1"/>
    <col min="28" max="30" width="10.109375" style="173" customWidth="1"/>
    <col min="31" max="31" width="11.109375" style="173" customWidth="1"/>
    <col min="32" max="35" width="10.109375" style="173" customWidth="1"/>
    <col min="36" max="36" width="11.109375" style="173" customWidth="1"/>
    <col min="37" max="37" width="5.5546875" style="173" customWidth="1"/>
    <col min="38" max="38" width="26.5546875" style="173" customWidth="1"/>
    <col min="39" max="42" width="9.88671875" style="173" customWidth="1"/>
    <col min="43" max="43" width="11.109375" style="173" customWidth="1"/>
    <col min="44" max="47" width="9.88671875" style="173" customWidth="1"/>
    <col min="48" max="48" width="11.109375" style="173" customWidth="1"/>
    <col min="49" max="256" width="9.109375" style="173" customWidth="1"/>
  </cols>
  <sheetData>
    <row r="1" spans="1:48" ht="12.6" customHeight="1">
      <c r="A1" s="324" t="s">
        <v>199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24" t="s">
        <v>200</v>
      </c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24" t="s">
        <v>201</v>
      </c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24" t="s">
        <v>201</v>
      </c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</row>
    <row r="2" spans="1:48" ht="12.6" customHeight="1">
      <c r="A2" s="326" t="s">
        <v>202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6" t="s">
        <v>203</v>
      </c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</row>
    <row r="3" spans="1:48" ht="12.75" customHeight="1">
      <c r="A3" s="316" t="s">
        <v>53</v>
      </c>
      <c r="B3" s="316" t="s">
        <v>204</v>
      </c>
      <c r="C3" s="318" t="str">
        <f>'Исходные данные'!$B$26+G32&amp;" год"</f>
        <v>2021 год</v>
      </c>
      <c r="D3" s="319"/>
      <c r="E3" s="319"/>
      <c r="F3" s="319"/>
      <c r="G3" s="320"/>
      <c r="H3" s="318" t="str">
        <f>'Исходные данные'!$B$26+L32&amp;" год"</f>
        <v>2022 год</v>
      </c>
      <c r="I3" s="319"/>
      <c r="J3" s="319"/>
      <c r="K3" s="319"/>
      <c r="L3" s="320"/>
      <c r="M3" s="316" t="s">
        <v>53</v>
      </c>
      <c r="N3" s="316" t="s">
        <v>204</v>
      </c>
      <c r="O3" s="318" t="str">
        <f>'Исходные данные'!$B$26+S32&amp;" год"</f>
        <v>2023 год</v>
      </c>
      <c r="P3" s="319"/>
      <c r="Q3" s="319"/>
      <c r="R3" s="319"/>
      <c r="S3" s="320"/>
      <c r="T3" s="318" t="str">
        <f>'Исходные данные'!$B$26+X32&amp;" год"</f>
        <v>2024 год</v>
      </c>
      <c r="U3" s="319"/>
      <c r="V3" s="319"/>
      <c r="W3" s="319"/>
      <c r="X3" s="320"/>
      <c r="Y3" s="316" t="s">
        <v>53</v>
      </c>
      <c r="Z3" s="316" t="s">
        <v>204</v>
      </c>
      <c r="AA3" s="318" t="str">
        <f>'Исходные данные'!$B$26+AE32&amp;" год"</f>
        <v>2025 год</v>
      </c>
      <c r="AB3" s="319"/>
      <c r="AC3" s="319"/>
      <c r="AD3" s="319"/>
      <c r="AE3" s="320"/>
      <c r="AF3" s="318" t="str">
        <f>'Исходные данные'!$B$26+AJ32&amp;" год"</f>
        <v>2026 год</v>
      </c>
      <c r="AG3" s="319"/>
      <c r="AH3" s="319"/>
      <c r="AI3" s="319"/>
      <c r="AJ3" s="320"/>
      <c r="AK3" s="316" t="s">
        <v>53</v>
      </c>
      <c r="AL3" s="316" t="s">
        <v>204</v>
      </c>
      <c r="AM3" s="318" t="str">
        <f>'Исходные данные'!$B$26+AQ32&amp;" год"</f>
        <v>2027 год</v>
      </c>
      <c r="AN3" s="319"/>
      <c r="AO3" s="319"/>
      <c r="AP3" s="319"/>
      <c r="AQ3" s="320"/>
      <c r="AR3" s="318" t="str">
        <f>'Исходные данные'!$B$26+AV32&amp;" год"</f>
        <v>2028 год</v>
      </c>
      <c r="AS3" s="319"/>
      <c r="AT3" s="319"/>
      <c r="AU3" s="319"/>
      <c r="AV3" s="320"/>
    </row>
    <row r="4" spans="1:48" ht="12.6" customHeight="1">
      <c r="A4" s="317"/>
      <c r="B4" s="317"/>
      <c r="C4" s="127" t="s">
        <v>58</v>
      </c>
      <c r="D4" s="127" t="s">
        <v>59</v>
      </c>
      <c r="E4" s="127" t="s">
        <v>60</v>
      </c>
      <c r="F4" s="127" t="s">
        <v>61</v>
      </c>
      <c r="G4" s="127" t="s">
        <v>62</v>
      </c>
      <c r="H4" s="127" t="s">
        <v>58</v>
      </c>
      <c r="I4" s="127" t="s">
        <v>59</v>
      </c>
      <c r="J4" s="127" t="s">
        <v>60</v>
      </c>
      <c r="K4" s="127" t="s">
        <v>61</v>
      </c>
      <c r="L4" s="127" t="s">
        <v>62</v>
      </c>
      <c r="M4" s="317"/>
      <c r="N4" s="317"/>
      <c r="O4" s="127" t="s">
        <v>58</v>
      </c>
      <c r="P4" s="127" t="s">
        <v>59</v>
      </c>
      <c r="Q4" s="127" t="s">
        <v>60</v>
      </c>
      <c r="R4" s="127" t="s">
        <v>61</v>
      </c>
      <c r="S4" s="127" t="s">
        <v>62</v>
      </c>
      <c r="T4" s="127" t="s">
        <v>58</v>
      </c>
      <c r="U4" s="127" t="s">
        <v>59</v>
      </c>
      <c r="V4" s="127" t="s">
        <v>60</v>
      </c>
      <c r="W4" s="127" t="s">
        <v>61</v>
      </c>
      <c r="X4" s="127" t="s">
        <v>62</v>
      </c>
      <c r="Y4" s="317"/>
      <c r="Z4" s="317"/>
      <c r="AA4" s="127" t="s">
        <v>58</v>
      </c>
      <c r="AB4" s="127" t="s">
        <v>59</v>
      </c>
      <c r="AC4" s="127" t="s">
        <v>60</v>
      </c>
      <c r="AD4" s="127" t="s">
        <v>61</v>
      </c>
      <c r="AE4" s="127" t="s">
        <v>62</v>
      </c>
      <c r="AF4" s="127" t="s">
        <v>58</v>
      </c>
      <c r="AG4" s="127" t="s">
        <v>59</v>
      </c>
      <c r="AH4" s="127" t="s">
        <v>60</v>
      </c>
      <c r="AI4" s="127" t="s">
        <v>61</v>
      </c>
      <c r="AJ4" s="127" t="s">
        <v>62</v>
      </c>
      <c r="AK4" s="317"/>
      <c r="AL4" s="317"/>
      <c r="AM4" s="127" t="s">
        <v>58</v>
      </c>
      <c r="AN4" s="127" t="s">
        <v>59</v>
      </c>
      <c r="AO4" s="127" t="s">
        <v>60</v>
      </c>
      <c r="AP4" s="127" t="s">
        <v>61</v>
      </c>
      <c r="AQ4" s="127" t="s">
        <v>62</v>
      </c>
      <c r="AR4" s="127" t="s">
        <v>58</v>
      </c>
      <c r="AS4" s="127" t="s">
        <v>59</v>
      </c>
      <c r="AT4" s="127" t="s">
        <v>60</v>
      </c>
      <c r="AU4" s="127" t="s">
        <v>61</v>
      </c>
      <c r="AV4" s="127" t="s">
        <v>62</v>
      </c>
    </row>
    <row r="5" spans="1:48" ht="12.6" customHeight="1">
      <c r="A5" s="128">
        <v>1</v>
      </c>
      <c r="B5" s="128">
        <v>2</v>
      </c>
      <c r="C5" s="128">
        <v>3</v>
      </c>
      <c r="D5" s="128">
        <f t="shared" ref="D5:L5" si="0">C5+1</f>
        <v>4</v>
      </c>
      <c r="E5" s="128">
        <f t="shared" si="0"/>
        <v>5</v>
      </c>
      <c r="F5" s="128">
        <f t="shared" si="0"/>
        <v>6</v>
      </c>
      <c r="G5" s="128">
        <f t="shared" si="0"/>
        <v>7</v>
      </c>
      <c r="H5" s="128">
        <f t="shared" si="0"/>
        <v>8</v>
      </c>
      <c r="I5" s="128">
        <f t="shared" si="0"/>
        <v>9</v>
      </c>
      <c r="J5" s="128">
        <f t="shared" si="0"/>
        <v>10</v>
      </c>
      <c r="K5" s="128">
        <f t="shared" si="0"/>
        <v>11</v>
      </c>
      <c r="L5" s="128">
        <f t="shared" si="0"/>
        <v>12</v>
      </c>
      <c r="M5" s="128">
        <v>1</v>
      </c>
      <c r="N5" s="128">
        <v>2</v>
      </c>
      <c r="O5" s="128">
        <f>L5+1</f>
        <v>13</v>
      </c>
      <c r="P5" s="128">
        <f t="shared" ref="P5:X5" si="1">O5+1</f>
        <v>14</v>
      </c>
      <c r="Q5" s="128">
        <f t="shared" si="1"/>
        <v>15</v>
      </c>
      <c r="R5" s="128">
        <f t="shared" si="1"/>
        <v>16</v>
      </c>
      <c r="S5" s="128">
        <f t="shared" si="1"/>
        <v>17</v>
      </c>
      <c r="T5" s="128">
        <f t="shared" si="1"/>
        <v>18</v>
      </c>
      <c r="U5" s="128">
        <f t="shared" si="1"/>
        <v>19</v>
      </c>
      <c r="V5" s="128">
        <f t="shared" si="1"/>
        <v>20</v>
      </c>
      <c r="W5" s="128">
        <f t="shared" si="1"/>
        <v>21</v>
      </c>
      <c r="X5" s="128">
        <f t="shared" si="1"/>
        <v>22</v>
      </c>
      <c r="Y5" s="174"/>
      <c r="Z5" s="174"/>
      <c r="AA5" s="128">
        <f>X5+1</f>
        <v>23</v>
      </c>
      <c r="AB5" s="128">
        <f t="shared" ref="AB5:AJ5" si="2">AA5+1</f>
        <v>24</v>
      </c>
      <c r="AC5" s="128">
        <f t="shared" si="2"/>
        <v>25</v>
      </c>
      <c r="AD5" s="128">
        <f t="shared" si="2"/>
        <v>26</v>
      </c>
      <c r="AE5" s="128">
        <f t="shared" si="2"/>
        <v>27</v>
      </c>
      <c r="AF5" s="128">
        <f t="shared" si="2"/>
        <v>28</v>
      </c>
      <c r="AG5" s="128">
        <f t="shared" si="2"/>
        <v>29</v>
      </c>
      <c r="AH5" s="128">
        <f t="shared" si="2"/>
        <v>30</v>
      </c>
      <c r="AI5" s="128">
        <f t="shared" si="2"/>
        <v>31</v>
      </c>
      <c r="AJ5" s="128">
        <f t="shared" si="2"/>
        <v>32</v>
      </c>
      <c r="AK5" s="174"/>
      <c r="AL5" s="174"/>
      <c r="AM5" s="128">
        <f>AJ5+1</f>
        <v>33</v>
      </c>
      <c r="AN5" s="128">
        <f t="shared" ref="AN5:AV5" si="3">AM5+1</f>
        <v>34</v>
      </c>
      <c r="AO5" s="128">
        <f t="shared" si="3"/>
        <v>35</v>
      </c>
      <c r="AP5" s="128">
        <f t="shared" si="3"/>
        <v>36</v>
      </c>
      <c r="AQ5" s="128">
        <f t="shared" si="3"/>
        <v>37</v>
      </c>
      <c r="AR5" s="128">
        <f t="shared" si="3"/>
        <v>38</v>
      </c>
      <c r="AS5" s="128">
        <f t="shared" si="3"/>
        <v>39</v>
      </c>
      <c r="AT5" s="128">
        <f t="shared" si="3"/>
        <v>40</v>
      </c>
      <c r="AU5" s="128">
        <f t="shared" si="3"/>
        <v>41</v>
      </c>
      <c r="AV5" s="128">
        <f t="shared" si="3"/>
        <v>42</v>
      </c>
    </row>
    <row r="6" spans="1:48" ht="12.6" customHeight="1">
      <c r="A6" s="175" t="s">
        <v>63</v>
      </c>
      <c r="B6" s="130" t="s">
        <v>205</v>
      </c>
      <c r="C6" s="176">
        <f>C7+C8+C9+C10+C11+C12+C13+C14+C15+C16</f>
        <v>0</v>
      </c>
      <c r="D6" s="176">
        <f>D7+D8+D9+D10+D11+D12+D13+D14+D15+D16</f>
        <v>0</v>
      </c>
      <c r="E6" s="176">
        <f>E7+E8+E9+E10+E11+E12+E13+E14+E15+E16</f>
        <v>0</v>
      </c>
      <c r="F6" s="176">
        <f>F7+F8+F9+F10+F11+F12+F13+F14+F15+F16</f>
        <v>0</v>
      </c>
      <c r="G6" s="141">
        <f t="shared" ref="G6:G20" si="4">C6+D6+E6+F6</f>
        <v>0</v>
      </c>
      <c r="H6" s="176">
        <f>H7+H8+H9+H10+H11+H12+H13+H14+H15+H16</f>
        <v>25444.440000000002</v>
      </c>
      <c r="I6" s="176">
        <f>I7+I8+I9+I10+I11+I12+I13+I14+I15+I16</f>
        <v>25444.440000000002</v>
      </c>
      <c r="J6" s="176">
        <f>J7+J8+J9+J10+J11+J12+J13+J14+J15+J16</f>
        <v>25444.440000000002</v>
      </c>
      <c r="K6" s="176">
        <f>K7+K8+K9+K10+K11+K12+K13+K14+K15+K16</f>
        <v>25444.440000000002</v>
      </c>
      <c r="L6" s="141">
        <f t="shared" ref="L6:L20" si="5">H6+I6+J6+K6</f>
        <v>101777.76000000001</v>
      </c>
      <c r="M6" s="175" t="str">
        <f t="shared" ref="M6:M18" si="6">A6</f>
        <v>1.</v>
      </c>
      <c r="N6" s="130" t="str">
        <f t="shared" ref="N6:N18" si="7">B6</f>
        <v>Переменные затраты, в т.ч.:</v>
      </c>
      <c r="O6" s="176">
        <f>O7+O8+O9+O10+O11+O12+O13+O14+O15+O16</f>
        <v>25444.440000000002</v>
      </c>
      <c r="P6" s="176">
        <f>P7+P8+P9+P10+P11+P12+P13+P14+P15+P16</f>
        <v>25444.440000000002</v>
      </c>
      <c r="Q6" s="176">
        <f>Q7+Q8+Q9+Q10+Q11+Q12+Q13+Q14+Q15+Q16</f>
        <v>25444.440000000002</v>
      </c>
      <c r="R6" s="176">
        <f>R7+R8+R9+R10+R11+R12+R13+R14+R15+R16</f>
        <v>25444.440000000002</v>
      </c>
      <c r="S6" s="141">
        <f t="shared" ref="S6:S20" si="8">O6+P6+Q6+R6</f>
        <v>101777.76000000001</v>
      </c>
      <c r="T6" s="176">
        <f>T7+T8+T9+T10+T11+T12+T13+T14+T15+T16</f>
        <v>25444.440000000002</v>
      </c>
      <c r="U6" s="176">
        <f>U7+U8+U9+U10+U11+U12+U13+U14+U15+U16</f>
        <v>25444.440000000002</v>
      </c>
      <c r="V6" s="176">
        <f>V7+V8+V9+V10+V11+V12+V13+V14+V15+V16</f>
        <v>25444.440000000002</v>
      </c>
      <c r="W6" s="176">
        <f>W7+W8+W9+W10+W11+W12+W13+W14+W15+W16</f>
        <v>25444.440000000002</v>
      </c>
      <c r="X6" s="141">
        <f t="shared" ref="X6:X20" si="9">T6+U6+V6+W6</f>
        <v>101777.76000000001</v>
      </c>
      <c r="Y6" s="175" t="str">
        <f t="shared" ref="Y6:Y18" si="10">M6</f>
        <v>1.</v>
      </c>
      <c r="Z6" s="130" t="str">
        <f t="shared" ref="Z6:Z18" si="11">N6</f>
        <v>Переменные затраты, в т.ч.:</v>
      </c>
      <c r="AA6" s="177">
        <f>AA7+AA8+AA9+AA10+AA11+AA12+AA13+AA14+AA15+AA16</f>
        <v>25444.440000000002</v>
      </c>
      <c r="AB6" s="177">
        <f>AB7+AB8+AB9+AB10+AB11+AB12+AB13+AB14+AB15+AB16</f>
        <v>25444.440000000002</v>
      </c>
      <c r="AC6" s="177">
        <f>AC7+AC8+AC9+AC10+AC11+AC12+AC13+AC14+AC15+AC16</f>
        <v>25444.440000000002</v>
      </c>
      <c r="AD6" s="177">
        <f>AD7+AD8+AD9+AD10+AD11+AD12+AD13+AD14+AD15+AD16</f>
        <v>25444.440000000002</v>
      </c>
      <c r="AE6" s="141">
        <f t="shared" ref="AE6:AE30" si="12">AA6+AB6+AC6+AD6</f>
        <v>101777.76000000001</v>
      </c>
      <c r="AF6" s="177">
        <f>AF7+AF8+AF9+AF10+AF11+AF12+AF13+AF14+AF15+AF16</f>
        <v>25444.440000000002</v>
      </c>
      <c r="AG6" s="177">
        <f>AG7+AG8+AG9+AG10+AG11+AG12+AG13+AG14+AG15+AG16</f>
        <v>25444.440000000002</v>
      </c>
      <c r="AH6" s="177">
        <f>AH7+AH8+AH9+AH10+AH11+AH12+AH13+AH14+AH15+AH16</f>
        <v>25444.440000000002</v>
      </c>
      <c r="AI6" s="177">
        <f>AI7+AI8+AI9+AI10+AI11+AI12+AI13+AI14+AI15+AI16</f>
        <v>25444.440000000002</v>
      </c>
      <c r="AJ6" s="141">
        <f t="shared" ref="AJ6:AJ30" si="13">AF6+AG6+AH6+AI6</f>
        <v>101777.76000000001</v>
      </c>
      <c r="AK6" s="175" t="str">
        <f t="shared" ref="AK6:AK18" si="14">Y6</f>
        <v>1.</v>
      </c>
      <c r="AL6" s="130" t="str">
        <f t="shared" ref="AL6:AL18" si="15">Z6</f>
        <v>Переменные затраты, в т.ч.:</v>
      </c>
      <c r="AM6" s="177">
        <f>AM7+AM8+AM9+AM10+AM11+AM12+AM13+AM14+AM15+AM16</f>
        <v>25444.440000000002</v>
      </c>
      <c r="AN6" s="177">
        <f>AN7+AN8+AN9+AN10+AN11+AN12+AN13+AN14+AN15+AN16</f>
        <v>25444.440000000002</v>
      </c>
      <c r="AO6" s="177">
        <f>AO7+AO8+AO9+AO10+AO11+AO12+AO13+AO14+AO15+AO16</f>
        <v>25444.440000000002</v>
      </c>
      <c r="AP6" s="177">
        <f>AP7+AP8+AP9+AP10+AP11+AP12+AP13+AP14+AP15+AP16</f>
        <v>25444.440000000002</v>
      </c>
      <c r="AQ6" s="141">
        <f t="shared" ref="AQ6:AQ30" si="16">AM6+AN6+AO6+AP6</f>
        <v>101777.76000000001</v>
      </c>
      <c r="AR6" s="177">
        <f>AR7+AR8+AR9+AR10+AR11+AR12+AR13+AR14+AR15+AR16</f>
        <v>25444.440000000002</v>
      </c>
      <c r="AS6" s="177">
        <f>AS7+AS8+AS9+AS10+AS11+AS12+AS13+AS14+AS15+AS16</f>
        <v>25444.440000000002</v>
      </c>
      <c r="AT6" s="177">
        <f>AT7+AT8+AT9+AT10+AT11+AT12+AT13+AT14+AT15+AT16</f>
        <v>25444.440000000002</v>
      </c>
      <c r="AU6" s="177">
        <f>AU7+AU8+AU9+AU10+AU11+AU12+AU13+AU14+AU15+AU16</f>
        <v>25444.440000000002</v>
      </c>
      <c r="AV6" s="141">
        <f t="shared" ref="AV6:AV30" si="17">AR6+AS6+AT6+AU6</f>
        <v>101777.76000000001</v>
      </c>
    </row>
    <row r="7" spans="1:48" ht="12.6" customHeight="1">
      <c r="A7" s="136" t="s">
        <v>86</v>
      </c>
      <c r="B7" s="137" t="str">
        <f>'Исходные данные'!F81</f>
        <v>продажа 1м3 ПСБ-С-15 Л</v>
      </c>
      <c r="C7" s="132">
        <f>'Т 3'!D7*'Т 5'!$F$8+'Т 4'!C13*'Исходные данные'!$A$75</f>
        <v>0</v>
      </c>
      <c r="D7" s="132">
        <f>'Т 3'!E7*'Т 5'!$F$8+'Т 4'!D13*'Исходные данные'!$A$75</f>
        <v>0</v>
      </c>
      <c r="E7" s="132">
        <f>'Т 3'!F7*'Т 5'!$F$8+'Т 4'!E13*'Исходные данные'!$A$75</f>
        <v>0</v>
      </c>
      <c r="F7" s="132">
        <f>'Т 3'!G7*'Т 5'!$F$8+'Т 4'!F13*'Исходные данные'!$A$75</f>
        <v>0</v>
      </c>
      <c r="G7" s="132">
        <f t="shared" si="4"/>
        <v>0</v>
      </c>
      <c r="H7" s="132">
        <f>'Т 3'!I7*'Т 5'!$F$8/1000+'Т 4'!H13*'Исходные данные'!$A$75</f>
        <v>7470.54</v>
      </c>
      <c r="I7" s="132">
        <f>'Т 3'!J7*'Т 5'!$F$8/1000+'Т 4'!I13*'Исходные данные'!$A$75</f>
        <v>7470.54</v>
      </c>
      <c r="J7" s="132">
        <f>'Т 3'!K7*'Т 5'!$F$8/1000+'Т 4'!J13*'Исходные данные'!$A$75</f>
        <v>7470.54</v>
      </c>
      <c r="K7" s="132">
        <f>'Т 3'!L7*'Т 5'!$F$8/1000+'Т 4'!K13*'Исходные данные'!$A$75</f>
        <v>7470.54</v>
      </c>
      <c r="L7" s="132">
        <f t="shared" si="5"/>
        <v>29882.16</v>
      </c>
      <c r="M7" s="136" t="str">
        <f t="shared" si="6"/>
        <v>1.1.</v>
      </c>
      <c r="N7" s="137" t="str">
        <f t="shared" si="7"/>
        <v>продажа 1м3 ПСБ-С-15 Л</v>
      </c>
      <c r="O7" s="132">
        <f>'Т 3'!Q7*'Т 5'!$F$8/1000+'Т 4'!O13*'Исходные данные'!$A$75</f>
        <v>7470.54</v>
      </c>
      <c r="P7" s="132">
        <f>'Т 3'!R7*'Т 5'!$F$8/1000+'Т 4'!P13*'Исходные данные'!$A$75</f>
        <v>7470.54</v>
      </c>
      <c r="Q7" s="132">
        <f>'Т 3'!S7*'Т 5'!$F$8/1000+'Т 4'!Q13*'Исходные данные'!$A$75</f>
        <v>7470.54</v>
      </c>
      <c r="R7" s="132">
        <f>'Т 3'!T7*'Т 5'!$F$8/1000+'Т 4'!R13*'Исходные данные'!$A$75</f>
        <v>7470.54</v>
      </c>
      <c r="S7" s="132">
        <f t="shared" si="8"/>
        <v>29882.16</v>
      </c>
      <c r="T7" s="132">
        <f>'Т 3'!V7*'Т 5'!$F$8/1000+'Т 4'!T13*'Исходные данные'!$A$75</f>
        <v>7470.54</v>
      </c>
      <c r="U7" s="132">
        <f>'Т 3'!W7*'Т 5'!$F$8/1000+'Т 4'!U13*'Исходные данные'!$A$75</f>
        <v>7470.54</v>
      </c>
      <c r="V7" s="132">
        <f>'Т 3'!X7*'Т 5'!$F$8/1000+'Т 4'!V13*'Исходные данные'!$A$75</f>
        <v>7470.54</v>
      </c>
      <c r="W7" s="132">
        <f>'Т 3'!Y7*'Т 5'!$F$8/1000+'Т 4'!W13*'Исходные данные'!$A$75</f>
        <v>7470.54</v>
      </c>
      <c r="X7" s="132">
        <f t="shared" si="9"/>
        <v>29882.16</v>
      </c>
      <c r="Y7" s="136" t="str">
        <f t="shared" si="10"/>
        <v>1.1.</v>
      </c>
      <c r="Z7" s="137" t="str">
        <f t="shared" si="11"/>
        <v>продажа 1м3 ПСБ-С-15 Л</v>
      </c>
      <c r="AA7" s="132">
        <f>'Т 3'!AD7*'Т 5'!$F$8/1000+'Т 4'!AA13*'Исходные данные'!$A$75</f>
        <v>7470.54</v>
      </c>
      <c r="AB7" s="132">
        <f>'Т 3'!AE7*'Т 5'!$F$8/1000+'Т 4'!AB13*'Исходные данные'!$A$75</f>
        <v>7470.54</v>
      </c>
      <c r="AC7" s="132">
        <f>'Т 3'!AF7*'Т 5'!$F$8/1000+'Т 4'!AC13*'Исходные данные'!$A$75</f>
        <v>7470.54</v>
      </c>
      <c r="AD7" s="132">
        <f>'Т 3'!AG7*'Т 5'!$F$8/1000+'Т 4'!AD13*'Исходные данные'!$A$75</f>
        <v>7470.54</v>
      </c>
      <c r="AE7" s="132">
        <f t="shared" si="12"/>
        <v>29882.16</v>
      </c>
      <c r="AF7" s="132">
        <f>'Т 3'!AI7*'Т 5'!$F$8/1000+'Т 4'!AF13*'Исходные данные'!$A$75</f>
        <v>7470.54</v>
      </c>
      <c r="AG7" s="132">
        <f>'Т 3'!AJ7*'Т 5'!$F$8/1000+'Т 4'!AG13*'Исходные данные'!$A$75</f>
        <v>7470.54</v>
      </c>
      <c r="AH7" s="132">
        <f>'Т 3'!AK7*'Т 5'!$F$8/1000+'Т 4'!AH13*'Исходные данные'!$A$75</f>
        <v>7470.54</v>
      </c>
      <c r="AI7" s="132">
        <f>'Т 3'!AL7*'Т 5'!$F$8/1000+'Т 4'!AI13*'Исходные данные'!$A$75</f>
        <v>7470.54</v>
      </c>
      <c r="AJ7" s="132">
        <f t="shared" si="13"/>
        <v>29882.16</v>
      </c>
      <c r="AK7" s="136" t="str">
        <f t="shared" si="14"/>
        <v>1.1.</v>
      </c>
      <c r="AL7" s="137" t="str">
        <f t="shared" si="15"/>
        <v>продажа 1м3 ПСБ-С-15 Л</v>
      </c>
      <c r="AM7" s="132">
        <f>'Т 3'!AQ7*'Т 5'!$F$8/1000+'Т 4'!AM13*'Исходные данные'!$A$75</f>
        <v>7470.54</v>
      </c>
      <c r="AN7" s="132">
        <f>'Т 3'!AR7*'Т 5'!$F$8/1000+'Т 4'!AN13*'Исходные данные'!$A$75</f>
        <v>7470.54</v>
      </c>
      <c r="AO7" s="132">
        <f>'Т 3'!AS7*'Т 5'!$F$8/1000+'Т 4'!AO13*'Исходные данные'!$A$75</f>
        <v>7470.54</v>
      </c>
      <c r="AP7" s="132">
        <f>'Т 3'!AT7*'Т 5'!$F$8/1000+'Т 4'!AP13*'Исходные данные'!$A$75</f>
        <v>7470.54</v>
      </c>
      <c r="AQ7" s="132">
        <f t="shared" si="16"/>
        <v>29882.16</v>
      </c>
      <c r="AR7" s="132">
        <f>'Т 3'!AV7*'Т 5'!$F$8/1000+'Т 4'!AR13*'Исходные данные'!$A$75</f>
        <v>7470.54</v>
      </c>
      <c r="AS7" s="132">
        <f>'Т 3'!AW7*'Т 5'!$F$8/1000+'Т 4'!AS13*'Исходные данные'!$A$75</f>
        <v>7470.54</v>
      </c>
      <c r="AT7" s="132">
        <f>'Т 3'!AX7*'Т 5'!$F$8/1000+'Т 4'!AT13*'Исходные данные'!$A$75</f>
        <v>7470.54</v>
      </c>
      <c r="AU7" s="132">
        <f>'Т 3'!AY7*'Т 5'!$F$8/1000+'Т 4'!AU13*'Исходные данные'!$A$75</f>
        <v>7470.54</v>
      </c>
      <c r="AV7" s="132">
        <f t="shared" si="17"/>
        <v>29882.16</v>
      </c>
    </row>
    <row r="8" spans="1:48" ht="12.6" customHeight="1">
      <c r="A8" s="136" t="s">
        <v>88</v>
      </c>
      <c r="B8" s="137" t="str">
        <f>'Исходные данные'!F82</f>
        <v xml:space="preserve">продажа 1м3 ПСБ-С-15 </v>
      </c>
      <c r="C8" s="132">
        <f>'Т 3'!D12*'Т 5'!$F$21+'Т 4'!C13*'Исходные данные'!$B$75</f>
        <v>0</v>
      </c>
      <c r="D8" s="132">
        <f>'Т 3'!E12*'Т 5'!$F$21+'Т 4'!D13*'Исходные данные'!$B$75</f>
        <v>0</v>
      </c>
      <c r="E8" s="132">
        <f>'Т 3'!F12*'Т 5'!$F$21+'Т 4'!E13*'Исходные данные'!$B$75</f>
        <v>0</v>
      </c>
      <c r="F8" s="132">
        <f>'Т 3'!G12*'Т 5'!$F$21+'Т 4'!F13*'Исходные данные'!$B$75</f>
        <v>0</v>
      </c>
      <c r="G8" s="132">
        <f t="shared" si="4"/>
        <v>0</v>
      </c>
      <c r="H8" s="132">
        <f>'Т 3'!I12*'Т 5'!$F$21/1000+'Т 4'!H13*'Исходные данные'!$B$75</f>
        <v>3069.99</v>
      </c>
      <c r="I8" s="132">
        <f>'Т 3'!J12*'Т 5'!$F$21/1000+'Т 4'!I13*'Исходные данные'!$B$75</f>
        <v>3069.99</v>
      </c>
      <c r="J8" s="132">
        <f>'Т 3'!K12*'Т 5'!$F$21/1000+'Т 4'!J13*'Исходные данные'!$B$75</f>
        <v>3069.99</v>
      </c>
      <c r="K8" s="132">
        <f>'Т 3'!L12*'Т 5'!$F$21/1000+'Т 4'!K13*'Исходные данные'!$B$75</f>
        <v>3069.99</v>
      </c>
      <c r="L8" s="132">
        <f t="shared" si="5"/>
        <v>12279.96</v>
      </c>
      <c r="M8" s="136" t="str">
        <f t="shared" si="6"/>
        <v>1.2.</v>
      </c>
      <c r="N8" s="137" t="str">
        <f t="shared" si="7"/>
        <v xml:space="preserve">продажа 1м3 ПСБ-С-15 </v>
      </c>
      <c r="O8" s="132">
        <f>'Т 3'!Q12*'Т 5'!$F$21/1000+'Т 4'!O13*'Исходные данные'!$B$75</f>
        <v>3069.99</v>
      </c>
      <c r="P8" s="132">
        <f>'Т 3'!R12*'Т 5'!$F$21/1000+'Т 4'!P13*'Исходные данные'!$B$75</f>
        <v>3069.99</v>
      </c>
      <c r="Q8" s="132">
        <f>'Т 3'!S12*'Т 5'!$F$21/1000+'Т 4'!Q13*'Исходные данные'!$B$75</f>
        <v>3069.99</v>
      </c>
      <c r="R8" s="132">
        <f>'Т 3'!T12*'Т 5'!$F$21/1000+'Т 4'!R13*'Исходные данные'!$B$75</f>
        <v>3069.99</v>
      </c>
      <c r="S8" s="132">
        <f t="shared" si="8"/>
        <v>12279.96</v>
      </c>
      <c r="T8" s="132">
        <f>'Т 3'!V12/1000*'Т 5'!$F$21+'Т 4'!T13*'Исходные данные'!$B$75</f>
        <v>3069.99</v>
      </c>
      <c r="U8" s="132">
        <f>'Т 3'!W12/1000*'Т 5'!$F$21+'Т 4'!U13*'Исходные данные'!$B$75</f>
        <v>3069.99</v>
      </c>
      <c r="V8" s="132">
        <f>'Т 3'!X12/1000*'Т 5'!$F$21+'Т 4'!V13*'Исходные данные'!$B$75</f>
        <v>3069.99</v>
      </c>
      <c r="W8" s="132">
        <f>'Т 3'!Y12/1000*'Т 5'!$F$21+'Т 4'!W13*'Исходные данные'!$B$75</f>
        <v>3069.99</v>
      </c>
      <c r="X8" s="132">
        <f t="shared" si="9"/>
        <v>12279.96</v>
      </c>
      <c r="Y8" s="136" t="str">
        <f t="shared" si="10"/>
        <v>1.2.</v>
      </c>
      <c r="Z8" s="137" t="str">
        <f t="shared" si="11"/>
        <v xml:space="preserve">продажа 1м3 ПСБ-С-15 </v>
      </c>
      <c r="AA8" s="132">
        <f>'Т 3'!AD12/1000*'Т 5'!$F$21+'Т 4'!AA13*'Исходные данные'!$B$75</f>
        <v>3069.99</v>
      </c>
      <c r="AB8" s="132">
        <f>'Т 3'!AE12/1000*'Т 5'!$F$21+'Т 4'!AB13*'Исходные данные'!$B$75</f>
        <v>3069.99</v>
      </c>
      <c r="AC8" s="132">
        <f>'Т 3'!AF12/1000*'Т 5'!$F$21+'Т 4'!AC13*'Исходные данные'!$B$75</f>
        <v>3069.99</v>
      </c>
      <c r="AD8" s="132">
        <f>'Т 3'!AG12/1000*'Т 5'!$F$21+'Т 4'!AD13*'Исходные данные'!$B$75</f>
        <v>3069.99</v>
      </c>
      <c r="AE8" s="132">
        <f t="shared" si="12"/>
        <v>12279.96</v>
      </c>
      <c r="AF8" s="132">
        <f>'Т 3'!AI12/1000*'Т 5'!$F$21+'Т 4'!AF13*'Исходные данные'!$B$75</f>
        <v>3069.99</v>
      </c>
      <c r="AG8" s="132">
        <f>'Т 3'!AJ12/1000*'Т 5'!$F$21+'Т 4'!AG13*'Исходные данные'!$B$75</f>
        <v>3069.99</v>
      </c>
      <c r="AH8" s="132">
        <f>'Т 3'!AK12/1000*'Т 5'!$F$21+'Т 4'!AH13*'Исходные данные'!$B$75</f>
        <v>3069.99</v>
      </c>
      <c r="AI8" s="132">
        <f>'Т 3'!AL12/1000*'Т 5'!$F$21+'Т 4'!AI13*'Исходные данные'!$B$75</f>
        <v>3069.99</v>
      </c>
      <c r="AJ8" s="132">
        <f t="shared" si="13"/>
        <v>12279.96</v>
      </c>
      <c r="AK8" s="136" t="str">
        <f t="shared" si="14"/>
        <v>1.2.</v>
      </c>
      <c r="AL8" s="137" t="str">
        <f t="shared" si="15"/>
        <v xml:space="preserve">продажа 1м3 ПСБ-С-15 </v>
      </c>
      <c r="AM8" s="132">
        <f>'Т 3'!AQ12/1000*'Т 5'!$F$21+'Т 4'!AM13*'Исходные данные'!$B$75</f>
        <v>3069.99</v>
      </c>
      <c r="AN8" s="132">
        <f>'Т 3'!AR12/1000*'Т 5'!$F$21+'Т 4'!AN13*'Исходные данные'!$B$75</f>
        <v>3069.99</v>
      </c>
      <c r="AO8" s="132">
        <f>'Т 3'!AS12/1000*'Т 5'!$F$21+'Т 4'!AO13*'Исходные данные'!$B$75</f>
        <v>3069.99</v>
      </c>
      <c r="AP8" s="132">
        <f>'Т 3'!AT12/1000*'Т 5'!$F$21+'Т 4'!AP13*'Исходные данные'!$B$75</f>
        <v>3069.99</v>
      </c>
      <c r="AQ8" s="132">
        <f t="shared" si="16"/>
        <v>12279.96</v>
      </c>
      <c r="AR8" s="132">
        <f>'Т 3'!AV12/1000*'Т 5'!$F$21+'Т 4'!AR13*'Исходные данные'!$B$75</f>
        <v>3069.99</v>
      </c>
      <c r="AS8" s="132">
        <f>'Т 3'!AW12/1000*'Т 5'!$F$21+'Т 4'!AS13*'Исходные данные'!$B$75</f>
        <v>3069.99</v>
      </c>
      <c r="AT8" s="132">
        <f>'Т 3'!AX12/1000*'Т 5'!$F$21+'Т 4'!AT13*'Исходные данные'!$B$75</f>
        <v>3069.99</v>
      </c>
      <c r="AU8" s="132">
        <f>'Т 3'!AY12/1000*'Т 5'!$F$21+'Т 4'!AU13*'Исходные данные'!$B$75</f>
        <v>3069.99</v>
      </c>
      <c r="AV8" s="132">
        <f t="shared" si="17"/>
        <v>12279.96</v>
      </c>
    </row>
    <row r="9" spans="1:48" ht="12.6" customHeight="1">
      <c r="A9" s="136" t="s">
        <v>90</v>
      </c>
      <c r="B9" s="137" t="str">
        <f>'Исходные данные'!F83</f>
        <v>продажа 1м3 ПСБ-С-25</v>
      </c>
      <c r="C9" s="132">
        <f>'Т 3'!D17*'Т 5'!$F$34+'Т 4'!C13*'Исходные данные'!$C$75</f>
        <v>0</v>
      </c>
      <c r="D9" s="132">
        <f>'Т 3'!E17*'Т 5'!$F$34+'Т 4'!D13*'Исходные данные'!$C$75</f>
        <v>0</v>
      </c>
      <c r="E9" s="132">
        <f>'Т 3'!F17*'Т 5'!$F$34+'Т 4'!E13*'Исходные данные'!$C$75</f>
        <v>0</v>
      </c>
      <c r="F9" s="132">
        <f>'Т 3'!G17*'Т 5'!$F$34+'Т 4'!F13*'Исходные данные'!$C$75</f>
        <v>0</v>
      </c>
      <c r="G9" s="132">
        <f t="shared" si="4"/>
        <v>0</v>
      </c>
      <c r="H9" s="132">
        <f>'Т 3'!I17*'Т 5'!$F$34/1000+'Т 4'!H13*'Исходные данные'!$C$75</f>
        <v>3580.29</v>
      </c>
      <c r="I9" s="132">
        <f>'Т 3'!J17*'Т 5'!$F$34/1000+'Т 4'!I13*'Исходные данные'!$C$75</f>
        <v>3580.29</v>
      </c>
      <c r="J9" s="132">
        <f>'Т 3'!K17*'Т 5'!$F$34/1000+'Т 4'!J13*'Исходные данные'!$C$75</f>
        <v>3580.29</v>
      </c>
      <c r="K9" s="132">
        <f>'Т 3'!L17*'Т 5'!$F$34/1000+'Т 4'!K13*'Исходные данные'!$C$75</f>
        <v>3580.29</v>
      </c>
      <c r="L9" s="132">
        <f t="shared" si="5"/>
        <v>14321.16</v>
      </c>
      <c r="M9" s="136" t="str">
        <f t="shared" si="6"/>
        <v>1.3.</v>
      </c>
      <c r="N9" s="137" t="str">
        <f t="shared" si="7"/>
        <v>продажа 1м3 ПСБ-С-25</v>
      </c>
      <c r="O9" s="132">
        <f>'Т 3'!Q17*'Т 5'!$F$34/1000+'Т 4'!O13*'Исходные данные'!$C$75</f>
        <v>3580.29</v>
      </c>
      <c r="P9" s="132">
        <f>'Т 3'!R17*'Т 5'!$F$34/1000+'Т 4'!P13*'Исходные данные'!$C$75</f>
        <v>3580.29</v>
      </c>
      <c r="Q9" s="132">
        <f>'Т 3'!S17*'Т 5'!$F$34/1000+'Т 4'!Q13*'Исходные данные'!$C$75</f>
        <v>3580.29</v>
      </c>
      <c r="R9" s="132">
        <f>'Т 3'!T17*'Т 5'!$F$34/1000+'Т 4'!R13*'Исходные данные'!$C$75</f>
        <v>3580.29</v>
      </c>
      <c r="S9" s="132">
        <f t="shared" si="8"/>
        <v>14321.16</v>
      </c>
      <c r="T9" s="132">
        <f>'Т 3'!V17*'Т 5'!$F$34/1000+'Т 4'!T13*'Исходные данные'!$C$75</f>
        <v>3580.29</v>
      </c>
      <c r="U9" s="132">
        <f>'Т 3'!W17*'Т 5'!$F$34/1000+'Т 4'!U13*'Исходные данные'!$C$75</f>
        <v>3580.29</v>
      </c>
      <c r="V9" s="132">
        <f>'Т 3'!X17*'Т 5'!$F$34/1000+'Т 4'!V13*'Исходные данные'!$C$75</f>
        <v>3580.29</v>
      </c>
      <c r="W9" s="132">
        <f>'Т 3'!Y17*'Т 5'!$F$34/1000+'Т 4'!W13*'Исходные данные'!$C$75</f>
        <v>3580.29</v>
      </c>
      <c r="X9" s="132">
        <f t="shared" si="9"/>
        <v>14321.16</v>
      </c>
      <c r="Y9" s="136" t="str">
        <f t="shared" si="10"/>
        <v>1.3.</v>
      </c>
      <c r="Z9" s="137" t="str">
        <f t="shared" si="11"/>
        <v>продажа 1м3 ПСБ-С-25</v>
      </c>
      <c r="AA9" s="132">
        <f>'Т 3'!AD17*'Т 5'!$F$34/1000+'Т 4'!AA13*'Исходные данные'!$C$75</f>
        <v>3580.29</v>
      </c>
      <c r="AB9" s="132">
        <f>'Т 3'!AE17*'Т 5'!$F$34/1000+'Т 4'!AB13*'Исходные данные'!$C$75</f>
        <v>3580.29</v>
      </c>
      <c r="AC9" s="132">
        <f>'Т 3'!AF17*'Т 5'!$F$34/1000+'Т 4'!AC13*'Исходные данные'!$C$75</f>
        <v>3580.29</v>
      </c>
      <c r="AD9" s="132">
        <f>'Т 3'!AG17*'Т 5'!$F$34/1000+'Т 4'!AD13*'Исходные данные'!$C$75</f>
        <v>3580.29</v>
      </c>
      <c r="AE9" s="132">
        <f t="shared" si="12"/>
        <v>14321.16</v>
      </c>
      <c r="AF9" s="132">
        <f>'Т 3'!AI17*'Т 5'!$F$34/1000+'Т 4'!AF13*'Исходные данные'!$C$75</f>
        <v>3580.29</v>
      </c>
      <c r="AG9" s="132">
        <f>'Т 3'!AJ17*'Т 5'!$F$34/1000+'Т 4'!AG13*'Исходные данные'!$C$75</f>
        <v>3580.29</v>
      </c>
      <c r="AH9" s="132">
        <f>'Т 3'!AK17*'Т 5'!$F$34/1000+'Т 4'!AH13*'Исходные данные'!$C$75</f>
        <v>3580.29</v>
      </c>
      <c r="AI9" s="132">
        <f>'Т 3'!AL17*'Т 5'!$F$34/1000+'Т 4'!AI13*'Исходные данные'!$C$75</f>
        <v>3580.29</v>
      </c>
      <c r="AJ9" s="132">
        <f t="shared" si="13"/>
        <v>14321.16</v>
      </c>
      <c r="AK9" s="136" t="str">
        <f t="shared" si="14"/>
        <v>1.3.</v>
      </c>
      <c r="AL9" s="137" t="str">
        <f t="shared" si="15"/>
        <v>продажа 1м3 ПСБ-С-25</v>
      </c>
      <c r="AM9" s="132">
        <f>'Т 3'!AQ17*'Т 5'!$F$34/1000+'Т 4'!AM13*'Исходные данные'!$C$75</f>
        <v>3580.29</v>
      </c>
      <c r="AN9" s="132">
        <f>'Т 3'!AR17*'Т 5'!$F$34/1000+'Т 4'!AN13*'Исходные данные'!$C$75</f>
        <v>3580.29</v>
      </c>
      <c r="AO9" s="132">
        <f>'Т 3'!AS17*'Т 5'!$F$34/1000+'Т 4'!AO13*'Исходные данные'!$C$75</f>
        <v>3580.29</v>
      </c>
      <c r="AP9" s="132">
        <f>'Т 3'!AT17*'Т 5'!$F$34/1000+'Т 4'!AP13*'Исходные данные'!$C$75</f>
        <v>3580.29</v>
      </c>
      <c r="AQ9" s="132">
        <f t="shared" si="16"/>
        <v>14321.16</v>
      </c>
      <c r="AR9" s="132">
        <f>'Т 3'!AV17*'Т 5'!$F$34/1000+'Т 4'!AR13*'Исходные данные'!$C$75</f>
        <v>3580.29</v>
      </c>
      <c r="AS9" s="132">
        <f>'Т 3'!AW17*'Т 5'!$F$34/1000+'Т 4'!AS13*'Исходные данные'!$C$75</f>
        <v>3580.29</v>
      </c>
      <c r="AT9" s="132">
        <f>'Т 3'!AX17*'Т 5'!$F$34/1000+'Т 4'!AT13*'Исходные данные'!$C$75</f>
        <v>3580.29</v>
      </c>
      <c r="AU9" s="132">
        <f>'Т 3'!AY17*'Т 5'!$F$34/1000+'Т 4'!AU13*'Исходные данные'!$C$75</f>
        <v>3580.29</v>
      </c>
      <c r="AV9" s="132">
        <f t="shared" si="17"/>
        <v>14321.16</v>
      </c>
    </row>
    <row r="10" spans="1:48" ht="12.6" customHeight="1">
      <c r="A10" s="136" t="s">
        <v>92</v>
      </c>
      <c r="B10" s="137" t="str">
        <f>'Исходные данные'!F84</f>
        <v>продажа 1м3 ПСБ-С-25 Ф</v>
      </c>
      <c r="C10" s="132">
        <f>'Т 3'!D22*'Т 5'!$F$47+'Т 4'!C13*'Исходные данные'!$D$75</f>
        <v>0</v>
      </c>
      <c r="D10" s="132">
        <f>'Т 3'!E22*'Т 5'!$F$47+'Т 4'!D13*'Исходные данные'!$D$75</f>
        <v>0</v>
      </c>
      <c r="E10" s="132">
        <f>'Т 3'!F22*'Т 5'!$F$47+'Т 4'!E13*'Исходные данные'!$D$75</f>
        <v>0</v>
      </c>
      <c r="F10" s="132">
        <f>'Т 3'!G22*'Т 5'!$F$47+'Т 4'!F13*'Исходные данные'!$D$75</f>
        <v>0</v>
      </c>
      <c r="G10" s="132">
        <f t="shared" si="4"/>
        <v>0</v>
      </c>
      <c r="H10" s="132">
        <f>'Т 3'!I22*'Т 5'!$F$47/1000+'Т 4'!H13*'Исходные данные'!$D$75</f>
        <v>3580.29</v>
      </c>
      <c r="I10" s="132">
        <f>'Т 3'!J22*'Т 5'!$F$47/1000+'Т 4'!I13*'Исходные данные'!$D$75</f>
        <v>3580.29</v>
      </c>
      <c r="J10" s="132">
        <f>'Т 3'!K22*'Т 5'!$F$47/1000+'Т 4'!J13*'Исходные данные'!$D$75</f>
        <v>3580.29</v>
      </c>
      <c r="K10" s="132">
        <f>'Т 3'!L22*'Т 5'!$F$47/1000+'Т 4'!K13*'Исходные данные'!$D$75</f>
        <v>3580.29</v>
      </c>
      <c r="L10" s="132">
        <f t="shared" si="5"/>
        <v>14321.16</v>
      </c>
      <c r="M10" s="136" t="str">
        <f t="shared" si="6"/>
        <v>1.4.</v>
      </c>
      <c r="N10" s="137" t="str">
        <f t="shared" si="7"/>
        <v>продажа 1м3 ПСБ-С-25 Ф</v>
      </c>
      <c r="O10" s="132">
        <f>'Т 3'!Q22*'Т 5'!$F$47/1000+'Т 4'!O13*'Исходные данные'!$D$75</f>
        <v>3580.29</v>
      </c>
      <c r="P10" s="132">
        <f>'Т 3'!R22*'Т 5'!$F$47/1000+'Т 4'!P13*'Исходные данные'!$D$75</f>
        <v>3580.29</v>
      </c>
      <c r="Q10" s="132">
        <f>'Т 3'!S22*'Т 5'!$F$47/1000+'Т 4'!Q13*'Исходные данные'!$D$75</f>
        <v>3580.29</v>
      </c>
      <c r="R10" s="132">
        <f>'Т 3'!T22*'Т 5'!$F$47/1000+'Т 4'!R13*'Исходные данные'!$D$75</f>
        <v>3580.29</v>
      </c>
      <c r="S10" s="132">
        <f t="shared" si="8"/>
        <v>14321.16</v>
      </c>
      <c r="T10" s="132">
        <f>'Т 3'!V22*'Т 5'!$F$47/1000+'Т 4'!T13*'Исходные данные'!$D$75</f>
        <v>3580.29</v>
      </c>
      <c r="U10" s="132">
        <f>'Т 3'!W22*'Т 5'!$F$47/1000+'Т 4'!U13*'Исходные данные'!$D$75</f>
        <v>3580.29</v>
      </c>
      <c r="V10" s="132">
        <f>'Т 3'!X22*'Т 5'!$F$47/1000+'Т 4'!V13*'Исходные данные'!$D$75</f>
        <v>3580.29</v>
      </c>
      <c r="W10" s="132">
        <f>'Т 3'!Y22*'Т 5'!$F$47/1000+'Т 4'!W13*'Исходные данные'!$D$75</f>
        <v>3580.29</v>
      </c>
      <c r="X10" s="132">
        <f t="shared" si="9"/>
        <v>14321.16</v>
      </c>
      <c r="Y10" s="136" t="str">
        <f t="shared" si="10"/>
        <v>1.4.</v>
      </c>
      <c r="Z10" s="137" t="str">
        <f t="shared" si="11"/>
        <v>продажа 1м3 ПСБ-С-25 Ф</v>
      </c>
      <c r="AA10" s="132">
        <f>'Т 3'!AD22*'Т 5'!$F$47/1000+'Т 4'!AA13*'Исходные данные'!$D$75</f>
        <v>3580.29</v>
      </c>
      <c r="AB10" s="132">
        <f>'Т 3'!AE22*'Т 5'!$F$47/1000+'Т 4'!AB13*'Исходные данные'!$D$75</f>
        <v>3580.29</v>
      </c>
      <c r="AC10" s="132">
        <f>'Т 3'!AF22*'Т 5'!$F$47/1000+'Т 4'!AC13*'Исходные данные'!$D$75</f>
        <v>3580.29</v>
      </c>
      <c r="AD10" s="132">
        <f>'Т 3'!AG22*'Т 5'!$F$47/1000+'Т 4'!AD13*'Исходные данные'!$D$75</f>
        <v>3580.29</v>
      </c>
      <c r="AE10" s="132">
        <f t="shared" si="12"/>
        <v>14321.16</v>
      </c>
      <c r="AF10" s="132">
        <f>'Т 3'!AI22*'Т 5'!$F$47/1000+'Т 4'!AF13*'Исходные данные'!$D$75</f>
        <v>3580.29</v>
      </c>
      <c r="AG10" s="132">
        <f>'Т 3'!AJ22*'Т 5'!$F$47/1000+'Т 4'!AG13*'Исходные данные'!$D$75</f>
        <v>3580.29</v>
      </c>
      <c r="AH10" s="132">
        <f>'Т 3'!AK22*'Т 5'!$F$47/1000+'Т 4'!AH13*'Исходные данные'!$D$75</f>
        <v>3580.29</v>
      </c>
      <c r="AI10" s="132">
        <f>'Т 3'!AL22*'Т 5'!$F$47/1000+'Т 4'!AI13*'Исходные данные'!$D$75</f>
        <v>3580.29</v>
      </c>
      <c r="AJ10" s="132">
        <f t="shared" si="13"/>
        <v>14321.16</v>
      </c>
      <c r="AK10" s="136" t="str">
        <f t="shared" si="14"/>
        <v>1.4.</v>
      </c>
      <c r="AL10" s="137" t="str">
        <f t="shared" si="15"/>
        <v>продажа 1м3 ПСБ-С-25 Ф</v>
      </c>
      <c r="AM10" s="132">
        <f>'Т 3'!AQ22*'Т 5'!$F$47/1000+'Т 4'!AM13*'Исходные данные'!$D$75</f>
        <v>3580.29</v>
      </c>
      <c r="AN10" s="132">
        <f>'Т 3'!AR22*'Т 5'!$F$47/1000+'Т 4'!AN13*'Исходные данные'!$D$75</f>
        <v>3580.29</v>
      </c>
      <c r="AO10" s="132">
        <f>'Т 3'!AS22*'Т 5'!$F$47/1000+'Т 4'!AO13*'Исходные данные'!$D$75</f>
        <v>3580.29</v>
      </c>
      <c r="AP10" s="132">
        <f>'Т 3'!AT22*'Т 5'!$F$47/1000+'Т 4'!AP13*'Исходные данные'!$D$75</f>
        <v>3580.29</v>
      </c>
      <c r="AQ10" s="132">
        <f t="shared" si="16"/>
        <v>14321.16</v>
      </c>
      <c r="AR10" s="132">
        <f>'Т 3'!AV22*'Т 5'!$F$47/1000+'Т 4'!AR13*'Исходные данные'!$D$75</f>
        <v>3580.29</v>
      </c>
      <c r="AS10" s="132">
        <f>'Т 3'!AW22*'Т 5'!$F$47/1000+'Т 4'!AS13*'Исходные данные'!$D$75</f>
        <v>3580.29</v>
      </c>
      <c r="AT10" s="132">
        <f>'Т 3'!AX22*'Т 5'!$F$47/1000+'Т 4'!AT13*'Исходные данные'!$D$75</f>
        <v>3580.29</v>
      </c>
      <c r="AU10" s="132">
        <f>'Т 3'!AY22*'Т 5'!$F$47/1000+'Т 4'!AU13*'Исходные данные'!$D$75</f>
        <v>3580.29</v>
      </c>
      <c r="AV10" s="132">
        <f t="shared" si="17"/>
        <v>14321.16</v>
      </c>
    </row>
    <row r="11" spans="1:48" ht="12.6" customHeight="1">
      <c r="A11" s="136" t="s">
        <v>167</v>
      </c>
      <c r="B11" s="137" t="s">
        <v>334</v>
      </c>
      <c r="C11" s="132">
        <f>'Т 3'!D27*'Т 5'!$F$60+'Т 4'!C13*'Исходные данные'!$E$75</f>
        <v>0</v>
      </c>
      <c r="D11" s="132">
        <f>'Т 3'!E27*'Т 5'!$F$60+'Т 4'!D13*'Исходные данные'!$E$75</f>
        <v>0</v>
      </c>
      <c r="E11" s="132">
        <f>'Т 3'!F27*'Т 5'!$F$60+'Т 4'!E13*'Исходные данные'!$E$75</f>
        <v>0</v>
      </c>
      <c r="F11" s="132">
        <f>'Т 3'!G27*'Т 5'!$F$60+'Т 4'!F13*'Исходные данные'!$E$75</f>
        <v>0</v>
      </c>
      <c r="G11" s="132">
        <f t="shared" si="4"/>
        <v>0</v>
      </c>
      <c r="H11" s="132">
        <f>'Т 3'!I27*'Т 5'!$F$60/1000+'Т 4'!H13*'Исходные данные'!$E$75</f>
        <v>3490.83</v>
      </c>
      <c r="I11" s="132">
        <f>'Т 3'!J27*'Т 5'!$F$60/1000+'Т 4'!I13*'Исходные данные'!$E$75</f>
        <v>3490.83</v>
      </c>
      <c r="J11" s="132">
        <f>'Т 3'!K27*'Т 5'!$F$60/1000+'Т 4'!J13*'Исходные данные'!$E$75</f>
        <v>3490.83</v>
      </c>
      <c r="K11" s="132">
        <f>'Т 3'!L27*'Т 5'!$F$60/1000+'Т 4'!K13*'Исходные данные'!$E$75</f>
        <v>3490.83</v>
      </c>
      <c r="L11" s="132">
        <f t="shared" si="5"/>
        <v>13963.32</v>
      </c>
      <c r="M11" s="136" t="str">
        <f t="shared" si="6"/>
        <v>1.5.</v>
      </c>
      <c r="N11" s="137" t="str">
        <f t="shared" si="7"/>
        <v>='Исходные данные'!F85</v>
      </c>
      <c r="O11" s="132">
        <f>'Т 3'!Q27*'Т 5'!$F$60/1000+'Т 4'!O13*'Исходные данные'!$E$75</f>
        <v>3490.83</v>
      </c>
      <c r="P11" s="132">
        <f>'Т 3'!R27*'Т 5'!$F$60/1000+'Т 4'!P13*'Исходные данные'!$E$75</f>
        <v>3490.83</v>
      </c>
      <c r="Q11" s="132">
        <f>'Т 3'!S27*'Т 5'!$F$60/1000+'Т 4'!Q13*'Исходные данные'!$E$75</f>
        <v>3490.83</v>
      </c>
      <c r="R11" s="132">
        <f>'Т 3'!T27*'Т 5'!$F$60/1000+'Т 4'!R13*'Исходные данные'!$E$75</f>
        <v>3490.83</v>
      </c>
      <c r="S11" s="132">
        <f t="shared" si="8"/>
        <v>13963.32</v>
      </c>
      <c r="T11" s="132">
        <f>'Т 3'!V27*'Т 5'!$F$60/1000+'Т 4'!T13*'Исходные данные'!$E$75</f>
        <v>3490.83</v>
      </c>
      <c r="U11" s="132">
        <f>'Т 3'!W27*'Т 5'!$F$60/1000+'Т 4'!U13*'Исходные данные'!$E$75</f>
        <v>3490.83</v>
      </c>
      <c r="V11" s="132">
        <f>'Т 3'!X27*'Т 5'!$F$60/1000+'Т 4'!V13*'Исходные данные'!$E$75</f>
        <v>3490.83</v>
      </c>
      <c r="W11" s="132">
        <f>'Т 3'!Y27*'Т 5'!$F$60/1000+'Т 4'!W13*'Исходные данные'!$E$75</f>
        <v>3490.83</v>
      </c>
      <c r="X11" s="132">
        <f t="shared" si="9"/>
        <v>13963.32</v>
      </c>
      <c r="Y11" s="136" t="str">
        <f t="shared" si="10"/>
        <v>1.5.</v>
      </c>
      <c r="Z11" s="137" t="str">
        <f t="shared" si="11"/>
        <v>='Исходные данные'!F85</v>
      </c>
      <c r="AA11" s="132">
        <f>'Т 3'!AD27*'Т 5'!$F$60/1000+'Т 4'!AA13*'Исходные данные'!$E$75</f>
        <v>3490.83</v>
      </c>
      <c r="AB11" s="132">
        <f>'Т 3'!AE27*'Т 5'!$F$60/1000+'Т 4'!AB13*'Исходные данные'!$E$75</f>
        <v>3490.83</v>
      </c>
      <c r="AC11" s="132">
        <f>'Т 3'!AF27*'Т 5'!$F$60/1000+'Т 4'!AC13*'Исходные данные'!$E$75</f>
        <v>3490.83</v>
      </c>
      <c r="AD11" s="132">
        <f>'Т 3'!AG27*'Т 5'!$F$60/1000+'Т 4'!AD13*'Исходные данные'!$E$75</f>
        <v>3490.83</v>
      </c>
      <c r="AE11" s="132">
        <f t="shared" si="12"/>
        <v>13963.32</v>
      </c>
      <c r="AF11" s="132">
        <f>'Т 3'!AI27*'Т 5'!$F$60/1000+'Т 4'!AF13*'Исходные данные'!$E$75</f>
        <v>3490.83</v>
      </c>
      <c r="AG11" s="132">
        <f>'Т 3'!AJ27*'Т 5'!$F$60/1000+'Т 4'!AG13*'Исходные данные'!$E$75</f>
        <v>3490.83</v>
      </c>
      <c r="AH11" s="132">
        <f>'Т 3'!AK27*'Т 5'!$F$60/1000+'Т 4'!AH13*'Исходные данные'!$E$75</f>
        <v>3490.83</v>
      </c>
      <c r="AI11" s="132">
        <f>'Т 3'!AL27*'Т 5'!$F$60/1000+'Т 4'!AI13*'Исходные данные'!$E$75</f>
        <v>3490.83</v>
      </c>
      <c r="AJ11" s="132">
        <f t="shared" si="13"/>
        <v>13963.32</v>
      </c>
      <c r="AK11" s="136" t="str">
        <f t="shared" si="14"/>
        <v>1.5.</v>
      </c>
      <c r="AL11" s="137" t="str">
        <f t="shared" si="15"/>
        <v>='Исходные данные'!F85</v>
      </c>
      <c r="AM11" s="132">
        <f>'Т 3'!AQ27*'Т 5'!$F$60/1000+'Т 4'!AM13*'Исходные данные'!$E$75</f>
        <v>3490.83</v>
      </c>
      <c r="AN11" s="132">
        <f>'Т 3'!AR27*'Т 5'!$F$60/1000+'Т 4'!AN13*'Исходные данные'!$E$75</f>
        <v>3490.83</v>
      </c>
      <c r="AO11" s="132">
        <f>'Т 3'!AS27*'Т 5'!$F$60/1000+'Т 4'!AO13*'Исходные данные'!$E$75</f>
        <v>3490.83</v>
      </c>
      <c r="AP11" s="132">
        <f>'Т 3'!AT27*'Т 5'!$F$60/1000+'Т 4'!AP13*'Исходные данные'!$E$75</f>
        <v>3490.83</v>
      </c>
      <c r="AQ11" s="132">
        <f t="shared" si="16"/>
        <v>13963.32</v>
      </c>
      <c r="AR11" s="132">
        <f>'Т 3'!AV27*'Т 5'!$F$60/1000+'Т 4'!AR13*'Исходные данные'!$E$75</f>
        <v>3490.83</v>
      </c>
      <c r="AS11" s="132">
        <f>'Т 3'!AW27*'Т 5'!$F$60/1000+'Т 4'!AS13*'Исходные данные'!$E$75</f>
        <v>3490.83</v>
      </c>
      <c r="AT11" s="132">
        <f>'Т 3'!AX27*'Т 5'!$F$60/1000+'Т 4'!AT13*'Исходные данные'!$E$75</f>
        <v>3490.83</v>
      </c>
      <c r="AU11" s="132">
        <f>'Т 3'!AY27*'Т 5'!$F$60/1000+'Т 4'!AU13*'Исходные данные'!$E$75</f>
        <v>3490.83</v>
      </c>
      <c r="AV11" s="132">
        <f t="shared" si="17"/>
        <v>13963.32</v>
      </c>
    </row>
    <row r="12" spans="1:48" ht="11.4" customHeight="1">
      <c r="A12" s="136" t="s">
        <v>206</v>
      </c>
      <c r="B12" s="137" t="s">
        <v>335</v>
      </c>
      <c r="C12" s="132">
        <f>'Т 3'!D32*'Т 5'!$F$73+'Т 4'!C13*'Исходные данные'!$J$7</f>
        <v>0</v>
      </c>
      <c r="D12" s="132">
        <f>'Т 3'!E32*'Т 5'!$F$73+'Т 4'!D13*'Исходные данные'!$J$7</f>
        <v>0</v>
      </c>
      <c r="E12" s="132">
        <f>'Т 3'!F32*'Т 5'!$F$73+'Т 4'!E13*'Исходные данные'!$J$7</f>
        <v>0</v>
      </c>
      <c r="F12" s="132">
        <f>'Т 3'!G32*'Т 5'!$F$73+'Т 4'!F13*'Исходные данные'!$J$7</f>
        <v>0</v>
      </c>
      <c r="G12" s="132">
        <f t="shared" si="4"/>
        <v>0</v>
      </c>
      <c r="H12" s="132">
        <f>'Т 3'!I32*'Т 5'!$F$73/1000+'Т 4'!H13*'Исходные данные'!$J$7</f>
        <v>4252.5</v>
      </c>
      <c r="I12" s="132">
        <f>'Т 3'!J32*'Т 5'!$F$73/1000+'Т 4'!I13*'Исходные данные'!$J$7</f>
        <v>4252.5</v>
      </c>
      <c r="J12" s="132">
        <f>'Т 3'!K32*'Т 5'!$F$73/1000+'Т 4'!J13*'Исходные данные'!$J$7</f>
        <v>4252.5</v>
      </c>
      <c r="K12" s="132">
        <f>'Т 3'!L32*'Т 5'!$F$73/1000+'Т 4'!K13*'Исходные данные'!$J$7</f>
        <v>4252.5</v>
      </c>
      <c r="L12" s="132">
        <f t="shared" si="5"/>
        <v>17010</v>
      </c>
      <c r="M12" s="136" t="str">
        <f t="shared" si="6"/>
        <v>1.6.</v>
      </c>
      <c r="N12" s="137" t="str">
        <f t="shared" si="7"/>
        <v>='Исходные данные'!A86</v>
      </c>
      <c r="O12" s="132">
        <f>'Т 3'!Q32*'Т 5'!$F$73/1000+'Т 4'!O13*'Исходные данные'!$J$7</f>
        <v>4252.5</v>
      </c>
      <c r="P12" s="132">
        <f>'Т 3'!R32*'Т 5'!$F$73/1000+'Т 4'!P13*'Исходные данные'!$J$7</f>
        <v>4252.5</v>
      </c>
      <c r="Q12" s="132">
        <f>'Т 3'!S32*'Т 5'!$F$73/1000+'Т 4'!Q13*'Исходные данные'!$J$7</f>
        <v>4252.5</v>
      </c>
      <c r="R12" s="132">
        <f>'Т 3'!T32*'Т 5'!$F$73/1000+'Т 4'!R13*'Исходные данные'!$J$7</f>
        <v>4252.5</v>
      </c>
      <c r="S12" s="132">
        <f t="shared" si="8"/>
        <v>17010</v>
      </c>
      <c r="T12" s="132">
        <f>'Т 3'!V32*'Т 5'!$F$73/1000+'Т 4'!T13*'Исходные данные'!$J$7</f>
        <v>4252.5</v>
      </c>
      <c r="U12" s="132">
        <f>'Т 3'!W32*'Т 5'!$F$73/1000+'Т 4'!U13*'Исходные данные'!$J$7</f>
        <v>4252.5</v>
      </c>
      <c r="V12" s="132">
        <f>'Т 3'!X32*'Т 5'!$F$73/1000+'Т 4'!V13*'Исходные данные'!$J$7</f>
        <v>4252.5</v>
      </c>
      <c r="W12" s="132">
        <f>'Т 3'!Y32*'Т 5'!$F$73/1000+'Т 4'!W13*'Исходные данные'!$J$7</f>
        <v>4252.5</v>
      </c>
      <c r="X12" s="132">
        <f t="shared" si="9"/>
        <v>17010</v>
      </c>
      <c r="Y12" s="136" t="str">
        <f t="shared" si="10"/>
        <v>1.6.</v>
      </c>
      <c r="Z12" s="137" t="str">
        <f t="shared" si="11"/>
        <v>='Исходные данные'!A86</v>
      </c>
      <c r="AA12" s="132">
        <f>'Т 3'!AD32*'Т 5'!$F$73/1000+'Т 4'!AA13*'Исходные данные'!$J$7</f>
        <v>4252.5</v>
      </c>
      <c r="AB12" s="132">
        <f>'Т 3'!AE32*'Т 5'!$F$73/1000+'Т 4'!AB13*'Исходные данные'!$J$7</f>
        <v>4252.5</v>
      </c>
      <c r="AC12" s="132">
        <f>'Т 3'!AF32*'Т 5'!$F$73/1000+'Т 4'!AC13*'Исходные данные'!$J$7</f>
        <v>4252.5</v>
      </c>
      <c r="AD12" s="132">
        <f>'Т 3'!AG32*'Т 5'!$F$73/1000+'Т 4'!AD13*'Исходные данные'!$J$7</f>
        <v>4252.5</v>
      </c>
      <c r="AE12" s="132">
        <f t="shared" si="12"/>
        <v>17010</v>
      </c>
      <c r="AF12" s="132">
        <f>'Т 3'!AI32*'Т 5'!$F$73/1000+'Т 4'!AF13*'Исходные данные'!$J$7</f>
        <v>4252.5</v>
      </c>
      <c r="AG12" s="132">
        <f>'Т 3'!AJ32*'Т 5'!$F$73/1000+'Т 4'!AG13*'Исходные данные'!$J$7</f>
        <v>4252.5</v>
      </c>
      <c r="AH12" s="132">
        <f>'Т 3'!AK32*'Т 5'!$F$73/1000+'Т 4'!AH13*'Исходные данные'!$J$7</f>
        <v>4252.5</v>
      </c>
      <c r="AI12" s="132">
        <f>'Т 3'!AL32*'Т 5'!$F$73/1000+'Т 4'!AI13*'Исходные данные'!$J$7</f>
        <v>4252.5</v>
      </c>
      <c r="AJ12" s="132">
        <f t="shared" si="13"/>
        <v>17010</v>
      </c>
      <c r="AK12" s="136" t="str">
        <f t="shared" si="14"/>
        <v>1.6.</v>
      </c>
      <c r="AL12" s="137" t="str">
        <f t="shared" si="15"/>
        <v>='Исходные данные'!A86</v>
      </c>
      <c r="AM12" s="132">
        <f>'Т 3'!AQ32*'Т 5'!$F$73/1000+'Т 4'!AM13*'Исходные данные'!$J$7</f>
        <v>4252.5</v>
      </c>
      <c r="AN12" s="132">
        <f>'Т 3'!AR32*'Т 5'!$F$73/1000+'Т 4'!AN13*'Исходные данные'!$J$7</f>
        <v>4252.5</v>
      </c>
      <c r="AO12" s="132">
        <f>'Т 3'!AS32*'Т 5'!$F$73/1000+'Т 4'!AO13*'Исходные данные'!$J$7</f>
        <v>4252.5</v>
      </c>
      <c r="AP12" s="132">
        <f>'Т 3'!AT32*'Т 5'!$F$73/1000+'Т 4'!AP13*'Исходные данные'!$J$7</f>
        <v>4252.5</v>
      </c>
      <c r="AQ12" s="132">
        <f t="shared" si="16"/>
        <v>17010</v>
      </c>
      <c r="AR12" s="132">
        <f>'Т 3'!AV32*'Т 5'!$F$73/1000+'Т 4'!AR13*'Исходные данные'!$J$7</f>
        <v>4252.5</v>
      </c>
      <c r="AS12" s="132">
        <f>'Т 3'!AW32*'Т 5'!$F$73/1000+'Т 4'!AS13*'Исходные данные'!$J$7</f>
        <v>4252.5</v>
      </c>
      <c r="AT12" s="132">
        <f>'Т 3'!AX32*'Т 5'!$F$73/1000+'Т 4'!AT13*'Исходные данные'!$J$7</f>
        <v>4252.5</v>
      </c>
      <c r="AU12" s="132">
        <f>'Т 3'!AY32*'Т 5'!$F$73/1000+'Т 4'!AU13*'Исходные данные'!$J$7</f>
        <v>4252.5</v>
      </c>
      <c r="AV12" s="132">
        <f t="shared" si="17"/>
        <v>17010</v>
      </c>
    </row>
    <row r="13" spans="1:48" ht="11.4" customHeight="1">
      <c r="A13" s="136" t="s">
        <v>207</v>
      </c>
      <c r="B13" s="137" t="str">
        <f>'Исходные данные'!A95</f>
        <v>Продукция (услуга, работа)</v>
      </c>
      <c r="C13" s="132">
        <f>'Т 3'!D37*'Т 5'!$F$86+'Т 4'!C13*'Исходные данные'!$K$7</f>
        <v>0</v>
      </c>
      <c r="D13" s="132">
        <f>'Т 3'!E37*'Т 5'!$F$86+'Т 4'!D13*'Исходные данные'!$K$7</f>
        <v>0</v>
      </c>
      <c r="E13" s="132">
        <f>'Т 3'!F37*'Т 5'!$F$86+'Т 4'!E13*'Исходные данные'!$K$7</f>
        <v>0</v>
      </c>
      <c r="F13" s="132">
        <f>'Т 3'!G37*'Т 5'!$F$86+'Т 4'!F13*'Исходные данные'!$K$7</f>
        <v>0</v>
      </c>
      <c r="G13" s="132">
        <f t="shared" si="4"/>
        <v>0</v>
      </c>
      <c r="H13" s="132">
        <f>'Т 3'!I37*'Т 5'!$F$86+'Т 4'!H13*'Исходные данные'!$K$7</f>
        <v>0</v>
      </c>
      <c r="I13" s="132">
        <f>'Т 3'!J37*'Т 5'!$F$86+'Т 4'!I13*'Исходные данные'!$K$7</f>
        <v>0</v>
      </c>
      <c r="J13" s="132">
        <f>'Т 3'!K37*'Т 5'!$F$86+'Т 4'!J13*'Исходные данные'!$K$7</f>
        <v>0</v>
      </c>
      <c r="K13" s="132">
        <f>'Т 3'!L37*'Т 5'!$F$86+'Т 4'!K13*'Исходные данные'!$K$7</f>
        <v>0</v>
      </c>
      <c r="L13" s="132">
        <f t="shared" si="5"/>
        <v>0</v>
      </c>
      <c r="M13" s="136" t="str">
        <f t="shared" si="6"/>
        <v>1.7.</v>
      </c>
      <c r="N13" s="137" t="str">
        <f t="shared" si="7"/>
        <v>Продукция (услуга, работа)</v>
      </c>
      <c r="O13" s="132">
        <f>'Т 3'!Q37*'Т 5'!$F$86+'Т 4'!O13*'Исходные данные'!$K$7</f>
        <v>0</v>
      </c>
      <c r="P13" s="132">
        <f>'Т 3'!R37*'Т 5'!$F$86+'Т 4'!P13*'Исходные данные'!$K$7</f>
        <v>0</v>
      </c>
      <c r="Q13" s="132">
        <f>'Т 3'!S37*'Т 5'!$F$86+'Т 4'!Q13*'Исходные данные'!$K$7</f>
        <v>0</v>
      </c>
      <c r="R13" s="132">
        <f>'Т 3'!T37*'Т 5'!$F$86+'Т 4'!R13*'Исходные данные'!$K$7</f>
        <v>0</v>
      </c>
      <c r="S13" s="132">
        <f t="shared" si="8"/>
        <v>0</v>
      </c>
      <c r="T13" s="132">
        <f>'Т 3'!V37*'Т 5'!$F$86+'Т 4'!T13*'Исходные данные'!$K$7</f>
        <v>0</v>
      </c>
      <c r="U13" s="132">
        <f>'Т 3'!W37*'Т 5'!$F$86+'Т 4'!U13*'Исходные данные'!$K$7</f>
        <v>0</v>
      </c>
      <c r="V13" s="132">
        <f>'Т 3'!X37*'Т 5'!$F$86+'Т 4'!V13*'Исходные данные'!$K$7</f>
        <v>0</v>
      </c>
      <c r="W13" s="132">
        <f>'Т 3'!Y37*'Т 5'!$F$86+'Т 4'!W13*'Исходные данные'!$K$7</f>
        <v>0</v>
      </c>
      <c r="X13" s="132">
        <f t="shared" si="9"/>
        <v>0</v>
      </c>
      <c r="Y13" s="136" t="str">
        <f t="shared" si="10"/>
        <v>1.7.</v>
      </c>
      <c r="Z13" s="137" t="str">
        <f t="shared" si="11"/>
        <v>Продукция (услуга, работа)</v>
      </c>
      <c r="AA13" s="132">
        <f>'Т 3'!AD37*'Т 5'!$F$86+'Т 4'!AA13*'Исходные данные'!$K$7</f>
        <v>0</v>
      </c>
      <c r="AB13" s="132">
        <f>'Т 3'!AE37*'Т 5'!$F$86+'Т 4'!AB13*'Исходные данные'!$K$7</f>
        <v>0</v>
      </c>
      <c r="AC13" s="132">
        <f>'Т 3'!AF37*'Т 5'!$F$86+'Т 4'!AC13*'Исходные данные'!$K$7</f>
        <v>0</v>
      </c>
      <c r="AD13" s="132">
        <f>'Т 3'!AG37*'Т 5'!$F$86+'Т 4'!AD13*'Исходные данные'!$K$7</f>
        <v>0</v>
      </c>
      <c r="AE13" s="132">
        <f t="shared" si="12"/>
        <v>0</v>
      </c>
      <c r="AF13" s="132">
        <f>'Т 3'!AI37*'Т 5'!$F$86+'Т 4'!AF13*'Исходные данные'!$K$7</f>
        <v>0</v>
      </c>
      <c r="AG13" s="132">
        <f>'Т 3'!AJ37*'Т 5'!$F$86+'Т 4'!AG13*'Исходные данные'!$K$7</f>
        <v>0</v>
      </c>
      <c r="AH13" s="132">
        <f>'Т 3'!AK37*'Т 5'!$F$86+'Т 4'!AH13*'Исходные данные'!$K$7</f>
        <v>0</v>
      </c>
      <c r="AI13" s="132">
        <f>'Т 3'!AL37*'Т 5'!$F$86+'Т 4'!AI13*'Исходные данные'!$K$7</f>
        <v>0</v>
      </c>
      <c r="AJ13" s="132">
        <f t="shared" si="13"/>
        <v>0</v>
      </c>
      <c r="AK13" s="136" t="str">
        <f t="shared" si="14"/>
        <v>1.7.</v>
      </c>
      <c r="AL13" s="137" t="str">
        <f t="shared" si="15"/>
        <v>Продукция (услуга, работа)</v>
      </c>
      <c r="AM13" s="132">
        <f>'Т 3'!AQ37*'Т 5'!$F$86+'Т 4'!AM13*'Исходные данные'!$K$7</f>
        <v>0</v>
      </c>
      <c r="AN13" s="132">
        <f>'Т 3'!AR37*'Т 5'!$F$86+'Т 4'!AN13*'Исходные данные'!$K$7</f>
        <v>0</v>
      </c>
      <c r="AO13" s="132">
        <f>'Т 3'!AS37*'Т 5'!$F$86+'Т 4'!AO13*'Исходные данные'!$K$7</f>
        <v>0</v>
      </c>
      <c r="AP13" s="132">
        <f>'Т 3'!AT37*'Т 5'!$F$86+'Т 4'!AP13*'Исходные данные'!$K$7</f>
        <v>0</v>
      </c>
      <c r="AQ13" s="132">
        <f t="shared" si="16"/>
        <v>0</v>
      </c>
      <c r="AR13" s="132">
        <f>'Т 3'!AV37*'Т 5'!$F$86+'Т 4'!AR13*'Исходные данные'!$K$7</f>
        <v>0</v>
      </c>
      <c r="AS13" s="132">
        <f>'Т 3'!AW37*'Т 5'!$F$86+'Т 4'!AS13*'Исходные данные'!$K$7</f>
        <v>0</v>
      </c>
      <c r="AT13" s="132">
        <f>'Т 3'!AX37*'Т 5'!$F$86+'Т 4'!AT13*'Исходные данные'!$K$7</f>
        <v>0</v>
      </c>
      <c r="AU13" s="132">
        <f>'Т 3'!AY37*'Т 5'!$F$86+'Т 4'!AU13*'Исходные данные'!$K$7</f>
        <v>0</v>
      </c>
      <c r="AV13" s="132">
        <f t="shared" si="17"/>
        <v>0</v>
      </c>
    </row>
    <row r="14" spans="1:48" ht="11.4" customHeight="1">
      <c r="A14" s="136" t="s">
        <v>208</v>
      </c>
      <c r="B14" s="137" t="str">
        <f>'Исходные данные'!A96</f>
        <v>Продукция (услуга, работа)</v>
      </c>
      <c r="C14" s="132">
        <f>'Т 3'!D42*'Т 5'!$F$99+'Т 4'!C13*'Исходные данные'!$L$7</f>
        <v>0</v>
      </c>
      <c r="D14" s="132">
        <f>'Т 3'!E42*'Т 5'!$F$99+'Т 4'!D13*'Исходные данные'!$L$7</f>
        <v>0</v>
      </c>
      <c r="E14" s="132">
        <f>'Т 3'!F42*'Т 5'!$F$99+'Т 4'!E13*'Исходные данные'!$L$7</f>
        <v>0</v>
      </c>
      <c r="F14" s="132">
        <f>'Т 3'!G42*'Т 5'!$F$99+'Т 4'!F13*'Исходные данные'!$L$7</f>
        <v>0</v>
      </c>
      <c r="G14" s="132">
        <f t="shared" si="4"/>
        <v>0</v>
      </c>
      <c r="H14" s="132">
        <f>'Т 3'!I42*'Т 5'!$F$99+'Т 4'!H13*'Исходные данные'!$L$7</f>
        <v>0</v>
      </c>
      <c r="I14" s="132">
        <f>'Т 3'!J42*'Т 5'!$F$99+'Т 4'!I13*'Исходные данные'!$L$7</f>
        <v>0</v>
      </c>
      <c r="J14" s="132">
        <f>'Т 3'!K42*'Т 5'!$F$99+'Т 4'!J13*'Исходные данные'!$L$7</f>
        <v>0</v>
      </c>
      <c r="K14" s="132">
        <f>'Т 3'!L42*'Т 5'!$F$99+'Т 4'!K13*'Исходные данные'!$L$7</f>
        <v>0</v>
      </c>
      <c r="L14" s="132">
        <f t="shared" si="5"/>
        <v>0</v>
      </c>
      <c r="M14" s="136" t="str">
        <f t="shared" si="6"/>
        <v>1.8.</v>
      </c>
      <c r="N14" s="137" t="str">
        <f t="shared" si="7"/>
        <v>Продукция (услуга, работа)</v>
      </c>
      <c r="O14" s="132">
        <f>'Т 3'!Q42*'Т 5'!$F$99+'Т 4'!O13*'Исходные данные'!$L$7</f>
        <v>0</v>
      </c>
      <c r="P14" s="132">
        <f>'Т 3'!R42*'Т 5'!$F$99+'Т 4'!P13*'Исходные данные'!$L$7</f>
        <v>0</v>
      </c>
      <c r="Q14" s="132">
        <f>'Т 3'!S42*'Т 5'!$F$99+'Т 4'!Q13*'Исходные данные'!$L$7</f>
        <v>0</v>
      </c>
      <c r="R14" s="132">
        <f>'Т 3'!T42*'Т 5'!$F$99+'Т 4'!R13*'Исходные данные'!$L$7</f>
        <v>0</v>
      </c>
      <c r="S14" s="132">
        <f t="shared" si="8"/>
        <v>0</v>
      </c>
      <c r="T14" s="132">
        <f>'Т 3'!V42*'Т 5'!$F$99+'Т 4'!T13*'Исходные данные'!$L$7</f>
        <v>0</v>
      </c>
      <c r="U14" s="132">
        <f>'Т 3'!W42*'Т 5'!$F$99+'Т 4'!U13*'Исходные данные'!$L$7</f>
        <v>0</v>
      </c>
      <c r="V14" s="132">
        <f>'Т 3'!X42*'Т 5'!$F$99+'Т 4'!V13*'Исходные данные'!$L$7</f>
        <v>0</v>
      </c>
      <c r="W14" s="132">
        <f>'Т 3'!Y42*'Т 5'!$F$99+'Т 4'!W13*'Исходные данные'!$L$7</f>
        <v>0</v>
      </c>
      <c r="X14" s="132">
        <f t="shared" si="9"/>
        <v>0</v>
      </c>
      <c r="Y14" s="136" t="str">
        <f t="shared" si="10"/>
        <v>1.8.</v>
      </c>
      <c r="Z14" s="137" t="str">
        <f t="shared" si="11"/>
        <v>Продукция (услуга, работа)</v>
      </c>
      <c r="AA14" s="132">
        <f>'Т 3'!AD42*'Т 5'!$F$99+'Т 4'!AA13*'Исходные данные'!$L$7</f>
        <v>0</v>
      </c>
      <c r="AB14" s="132">
        <f>'Т 3'!AE42*'Т 5'!$F$99+'Т 4'!AB13*'Исходные данные'!$L$7</f>
        <v>0</v>
      </c>
      <c r="AC14" s="132">
        <f>'Т 3'!AF42*'Т 5'!$F$99+'Т 4'!AC13*'Исходные данные'!$L$7</f>
        <v>0</v>
      </c>
      <c r="AD14" s="132">
        <f>'Т 3'!AG42*'Т 5'!$F$99+'Т 4'!AD13*'Исходные данные'!$L$7</f>
        <v>0</v>
      </c>
      <c r="AE14" s="132">
        <f t="shared" si="12"/>
        <v>0</v>
      </c>
      <c r="AF14" s="132">
        <f>'Т 3'!AI42*'Т 5'!$F$99+'Т 4'!AF13*'Исходные данные'!$L$7</f>
        <v>0</v>
      </c>
      <c r="AG14" s="132">
        <f>'Т 3'!AJ42*'Т 5'!$F$99+'Т 4'!AG13*'Исходные данные'!$L$7</f>
        <v>0</v>
      </c>
      <c r="AH14" s="132">
        <f>'Т 3'!AK42*'Т 5'!$F$99+'Т 4'!AH13*'Исходные данные'!$L$7</f>
        <v>0</v>
      </c>
      <c r="AI14" s="132">
        <f>'Т 3'!AL42*'Т 5'!$F$99+'Т 4'!AI13*'Исходные данные'!$L$7</f>
        <v>0</v>
      </c>
      <c r="AJ14" s="132">
        <f t="shared" si="13"/>
        <v>0</v>
      </c>
      <c r="AK14" s="136" t="str">
        <f t="shared" si="14"/>
        <v>1.8.</v>
      </c>
      <c r="AL14" s="137" t="str">
        <f t="shared" si="15"/>
        <v>Продукция (услуга, работа)</v>
      </c>
      <c r="AM14" s="132">
        <f>'Т 3'!AQ42*'Т 5'!$F$99+'Т 4'!AM13*'Исходные данные'!$L$7</f>
        <v>0</v>
      </c>
      <c r="AN14" s="132">
        <f>'Т 3'!AR42*'Т 5'!$F$99+'Т 4'!AN13*'Исходные данные'!$L$7</f>
        <v>0</v>
      </c>
      <c r="AO14" s="132">
        <f>'Т 3'!AS42*'Т 5'!$F$99+'Т 4'!AO13*'Исходные данные'!$L$7</f>
        <v>0</v>
      </c>
      <c r="AP14" s="132">
        <f>'Т 3'!AT42*'Т 5'!$F$99+'Т 4'!AP13*'Исходные данные'!$L$7</f>
        <v>0</v>
      </c>
      <c r="AQ14" s="132">
        <f t="shared" si="16"/>
        <v>0</v>
      </c>
      <c r="AR14" s="132">
        <f>'Т 3'!AV42*'Т 5'!$F$99+'Т 4'!AR13*'Исходные данные'!$L$7</f>
        <v>0</v>
      </c>
      <c r="AS14" s="132">
        <f>'Т 3'!AW42*'Т 5'!$F$99+'Т 4'!AS13*'Исходные данные'!$L$7</f>
        <v>0</v>
      </c>
      <c r="AT14" s="132">
        <f>'Т 3'!AX42*'Т 5'!$F$99+'Т 4'!AT13*'Исходные данные'!$L$7</f>
        <v>0</v>
      </c>
      <c r="AU14" s="132">
        <f>'Т 3'!AY42*'Т 5'!$F$99+'Т 4'!AU13*'Исходные данные'!$L$7</f>
        <v>0</v>
      </c>
      <c r="AV14" s="132">
        <f t="shared" si="17"/>
        <v>0</v>
      </c>
    </row>
    <row r="15" spans="1:48" ht="12.75" customHeight="1">
      <c r="A15" s="136" t="s">
        <v>209</v>
      </c>
      <c r="B15" s="137" t="str">
        <f>'Исходные данные'!A97</f>
        <v>Продукция (услуга, работа)</v>
      </c>
      <c r="C15" s="132">
        <f>'Т 3'!D47*'Т 5'!$F$112+'Т 4'!C13*'Исходные данные'!$M$7</f>
        <v>0</v>
      </c>
      <c r="D15" s="132">
        <f>'Т 3'!E47*'Т 5'!$F$112+'Т 4'!D13*'Исходные данные'!$M$7</f>
        <v>0</v>
      </c>
      <c r="E15" s="132">
        <f>'Т 3'!F47*'Т 5'!$F$112+'Т 4'!E13*'Исходные данные'!$M$7</f>
        <v>0</v>
      </c>
      <c r="F15" s="132">
        <f>'Т 3'!G47*'Т 5'!$F$112+'Т 4'!F13*'Исходные данные'!$M$7</f>
        <v>0</v>
      </c>
      <c r="G15" s="132">
        <f t="shared" si="4"/>
        <v>0</v>
      </c>
      <c r="H15" s="132">
        <f>'Т 3'!I47*'Т 5'!$F$112+'Т 4'!H13*'Исходные данные'!$M$7</f>
        <v>0</v>
      </c>
      <c r="I15" s="132">
        <f>'Т 3'!J47*'Т 5'!$F$112+'Т 4'!I13*'Исходные данные'!$M$7</f>
        <v>0</v>
      </c>
      <c r="J15" s="132">
        <f>'Т 3'!K47*'Т 5'!$F$112+'Т 4'!J13*'Исходные данные'!$M$7</f>
        <v>0</v>
      </c>
      <c r="K15" s="132">
        <f>'Т 3'!L47*'Т 5'!$F$112+'Т 4'!K13*'Исходные данные'!$M$7</f>
        <v>0</v>
      </c>
      <c r="L15" s="132">
        <f t="shared" si="5"/>
        <v>0</v>
      </c>
      <c r="M15" s="136" t="str">
        <f t="shared" si="6"/>
        <v>1.9.</v>
      </c>
      <c r="N15" s="137" t="str">
        <f t="shared" si="7"/>
        <v>Продукция (услуга, работа)</v>
      </c>
      <c r="O15" s="132">
        <f>'Т 3'!Q47*'Т 5'!$F$112+'Т 4'!O13*'Исходные данные'!$M$7</f>
        <v>0</v>
      </c>
      <c r="P15" s="132">
        <f>'Т 3'!R47*'Т 5'!$F$112+'Т 4'!P13*'Исходные данные'!$M$7</f>
        <v>0</v>
      </c>
      <c r="Q15" s="132">
        <f>'Т 3'!S47*'Т 5'!$F$112+'Т 4'!Q13*'Исходные данные'!$M$7</f>
        <v>0</v>
      </c>
      <c r="R15" s="132">
        <f>'Т 3'!T47*'Т 5'!$F$112+'Т 4'!R13*'Исходные данные'!$M$7</f>
        <v>0</v>
      </c>
      <c r="S15" s="132">
        <f t="shared" si="8"/>
        <v>0</v>
      </c>
      <c r="T15" s="132">
        <f>'Т 3'!V47*'Т 5'!$F$112+'Т 4'!T13*'Исходные данные'!$M$7</f>
        <v>0</v>
      </c>
      <c r="U15" s="132">
        <f>'Т 3'!W47*'Т 5'!$F$112+'Т 4'!U13*'Исходные данные'!$M$7</f>
        <v>0</v>
      </c>
      <c r="V15" s="132">
        <f>'Т 3'!X47*'Т 5'!$F$112+'Т 4'!V13*'Исходные данные'!$M$7</f>
        <v>0</v>
      </c>
      <c r="W15" s="132">
        <f>'Т 3'!Y47*'Т 5'!$F$112+'Т 4'!W13*'Исходные данные'!$M$7</f>
        <v>0</v>
      </c>
      <c r="X15" s="132">
        <f t="shared" si="9"/>
        <v>0</v>
      </c>
      <c r="Y15" s="136" t="str">
        <f t="shared" si="10"/>
        <v>1.9.</v>
      </c>
      <c r="Z15" s="137" t="str">
        <f t="shared" si="11"/>
        <v>Продукция (услуга, работа)</v>
      </c>
      <c r="AA15" s="132">
        <f>'Т 3'!AD47*'Т 5'!$F$112+'Т 4'!AA13*'Исходные данные'!$M$7</f>
        <v>0</v>
      </c>
      <c r="AB15" s="132">
        <f>'Т 3'!AE47*'Т 5'!$F$112+'Т 4'!AB13*'Исходные данные'!$M$7</f>
        <v>0</v>
      </c>
      <c r="AC15" s="132">
        <f>'Т 3'!AF47*'Т 5'!$F$112+'Т 4'!AC13*'Исходные данные'!$M$7</f>
        <v>0</v>
      </c>
      <c r="AD15" s="132">
        <f>'Т 3'!AG47*'Т 5'!$F$112+'Т 4'!AD13*'Исходные данные'!$M$7</f>
        <v>0</v>
      </c>
      <c r="AE15" s="132">
        <f t="shared" si="12"/>
        <v>0</v>
      </c>
      <c r="AF15" s="132">
        <f>'Т 3'!AI47*'Т 5'!$F$112+'Т 4'!AF13*'Исходные данные'!$M$7</f>
        <v>0</v>
      </c>
      <c r="AG15" s="132">
        <f>'Т 3'!AJ47*'Т 5'!$F$112+'Т 4'!AG13*'Исходные данные'!$M$7</f>
        <v>0</v>
      </c>
      <c r="AH15" s="132">
        <f>'Т 3'!AK47*'Т 5'!$F$112+'Т 4'!AH13*'Исходные данные'!$M$7</f>
        <v>0</v>
      </c>
      <c r="AI15" s="132">
        <f>'Т 3'!AL47*'Т 5'!$F$112+'Т 4'!AI13*'Исходные данные'!$M$7</f>
        <v>0</v>
      </c>
      <c r="AJ15" s="132">
        <f t="shared" si="13"/>
        <v>0</v>
      </c>
      <c r="AK15" s="136" t="str">
        <f t="shared" si="14"/>
        <v>1.9.</v>
      </c>
      <c r="AL15" s="137" t="str">
        <f t="shared" si="15"/>
        <v>Продукция (услуга, работа)</v>
      </c>
      <c r="AM15" s="132">
        <f>'Т 3'!AQ47*'Т 5'!$F$112+'Т 4'!AM13*'Исходные данные'!$M$7</f>
        <v>0</v>
      </c>
      <c r="AN15" s="132">
        <f>'Т 3'!AR47*'Т 5'!$F$112+'Т 4'!AN13*'Исходные данные'!$M$7</f>
        <v>0</v>
      </c>
      <c r="AO15" s="132">
        <f>'Т 3'!AS47*'Т 5'!$F$112+'Т 4'!AO13*'Исходные данные'!$M$7</f>
        <v>0</v>
      </c>
      <c r="AP15" s="132">
        <f>'Т 3'!AT47*'Т 5'!$F$112+'Т 4'!AP13*'Исходные данные'!$M$7</f>
        <v>0</v>
      </c>
      <c r="AQ15" s="132">
        <f t="shared" si="16"/>
        <v>0</v>
      </c>
      <c r="AR15" s="132">
        <f>'Т 3'!AV47*'Т 5'!$F$112+'Т 4'!AR13*'Исходные данные'!$M$7</f>
        <v>0</v>
      </c>
      <c r="AS15" s="132">
        <f>'Т 3'!AW47*'Т 5'!$F$112+'Т 4'!AS13*'Исходные данные'!$M$7</f>
        <v>0</v>
      </c>
      <c r="AT15" s="132">
        <f>'Т 3'!AX47*'Т 5'!$F$112+'Т 4'!AT13*'Исходные данные'!$M$7</f>
        <v>0</v>
      </c>
      <c r="AU15" s="132">
        <f>'Т 3'!AY47*'Т 5'!$F$112+'Т 4'!AU13*'Исходные данные'!$M$7</f>
        <v>0</v>
      </c>
      <c r="AV15" s="132">
        <f t="shared" si="17"/>
        <v>0</v>
      </c>
    </row>
    <row r="16" spans="1:48" ht="12.75" customHeight="1">
      <c r="A16" s="136" t="s">
        <v>210</v>
      </c>
      <c r="B16" s="137" t="str">
        <f>'Исходные данные'!A98</f>
        <v>Продукция (услуга, работа)</v>
      </c>
      <c r="C16" s="132">
        <f>'Т 3'!D52*'Т 5'!$F$125+'Т 4'!C13*'Исходные данные'!$N$7</f>
        <v>0</v>
      </c>
      <c r="D16" s="132">
        <f>'Т 3'!E52*'Т 5'!$F$125+'Т 4'!D13*'Исходные данные'!$N$7</f>
        <v>0</v>
      </c>
      <c r="E16" s="132">
        <f>'Т 3'!F52*'Т 5'!$F$125+'Т 4'!E13*'Исходные данные'!$N$7</f>
        <v>0</v>
      </c>
      <c r="F16" s="132">
        <f>'Т 3'!G52*'Т 5'!$F$125+'Т 4'!F13*'Исходные данные'!$N$7</f>
        <v>0</v>
      </c>
      <c r="G16" s="132">
        <f t="shared" si="4"/>
        <v>0</v>
      </c>
      <c r="H16" s="132">
        <f>'Т 3'!I52*'Т 5'!$F$125+'Т 4'!H13*'Исходные данные'!$N$7</f>
        <v>0</v>
      </c>
      <c r="I16" s="132">
        <f>'Т 3'!J52*'Т 5'!$F$125+'Т 4'!I13*'Исходные данные'!$N$7</f>
        <v>0</v>
      </c>
      <c r="J16" s="132">
        <f>'Т 3'!K52*'Т 5'!$F$125+'Т 4'!J13*'Исходные данные'!$N$7</f>
        <v>0</v>
      </c>
      <c r="K16" s="132">
        <f>'Т 3'!L52*'Т 5'!$F$125+'Т 4'!K13*'Исходные данные'!$N$7</f>
        <v>0</v>
      </c>
      <c r="L16" s="132">
        <f t="shared" si="5"/>
        <v>0</v>
      </c>
      <c r="M16" s="136" t="str">
        <f t="shared" si="6"/>
        <v>1.10.</v>
      </c>
      <c r="N16" s="137" t="str">
        <f t="shared" si="7"/>
        <v>Продукция (услуга, работа)</v>
      </c>
      <c r="O16" s="132">
        <f>'Т 3'!Q52*'Т 5'!$F$125+'Т 4'!O13*'Исходные данные'!$N$7</f>
        <v>0</v>
      </c>
      <c r="P16" s="132">
        <f>'Т 3'!R52*'Т 5'!$F$125+'Т 4'!P13*'Исходные данные'!$N$7</f>
        <v>0</v>
      </c>
      <c r="Q16" s="132">
        <f>'Т 3'!S52*'Т 5'!$F$125+'Т 4'!Q13*'Исходные данные'!$N$7</f>
        <v>0</v>
      </c>
      <c r="R16" s="132">
        <f>'Т 3'!T52*'Т 5'!$F$125+'Т 4'!R13*'Исходные данные'!$N$7</f>
        <v>0</v>
      </c>
      <c r="S16" s="132">
        <f t="shared" si="8"/>
        <v>0</v>
      </c>
      <c r="T16" s="132">
        <f>'Т 3'!V52*'Т 5'!$F$125+'Т 4'!T13*'Исходные данные'!$N$7</f>
        <v>0</v>
      </c>
      <c r="U16" s="132">
        <f>'Т 3'!W52*'Т 5'!$F$125+'Т 4'!U13*'Исходные данные'!$N$7</f>
        <v>0</v>
      </c>
      <c r="V16" s="132">
        <f>'Т 3'!X52*'Т 5'!$F$125+'Т 4'!V13*'Исходные данные'!$N$7</f>
        <v>0</v>
      </c>
      <c r="W16" s="132">
        <f>'Т 3'!Y52*'Т 5'!$F$125+'Т 4'!W13*'Исходные данные'!$N$7</f>
        <v>0</v>
      </c>
      <c r="X16" s="132">
        <f t="shared" si="9"/>
        <v>0</v>
      </c>
      <c r="Y16" s="136" t="str">
        <f t="shared" si="10"/>
        <v>1.10.</v>
      </c>
      <c r="Z16" s="137" t="str">
        <f t="shared" si="11"/>
        <v>Продукция (услуга, работа)</v>
      </c>
      <c r="AA16" s="132">
        <f>'Т 3'!AD52*'Т 5'!$F$125+'Т 4'!AA13*'Исходные данные'!$N$7</f>
        <v>0</v>
      </c>
      <c r="AB16" s="132">
        <f>'Т 3'!AE52*'Т 5'!$F$125+'Т 4'!AB13*'Исходные данные'!$N$7</f>
        <v>0</v>
      </c>
      <c r="AC16" s="132">
        <f>'Т 3'!AF52*'Т 5'!$F$125+'Т 4'!AC13*'Исходные данные'!$N$7</f>
        <v>0</v>
      </c>
      <c r="AD16" s="132">
        <f>'Т 3'!AG52*'Т 5'!$F$125+'Т 4'!AD13*'Исходные данные'!$N$7</f>
        <v>0</v>
      </c>
      <c r="AE16" s="132">
        <f t="shared" si="12"/>
        <v>0</v>
      </c>
      <c r="AF16" s="132">
        <f>'Т 3'!AI52*'Т 5'!$F$125+'Т 4'!AF13*'Исходные данные'!$N$7</f>
        <v>0</v>
      </c>
      <c r="AG16" s="132">
        <f>'Т 3'!AJ52*'Т 5'!$F$125+'Т 4'!AG13*'Исходные данные'!$N$7</f>
        <v>0</v>
      </c>
      <c r="AH16" s="132">
        <f>'Т 3'!AK52*'Т 5'!$F$125+'Т 4'!AH13*'Исходные данные'!$N$7</f>
        <v>0</v>
      </c>
      <c r="AI16" s="132">
        <f>'Т 3'!AL52*'Т 5'!$F$125+'Т 4'!AI13*'Исходные данные'!$N$7</f>
        <v>0</v>
      </c>
      <c r="AJ16" s="132">
        <f t="shared" si="13"/>
        <v>0</v>
      </c>
      <c r="AK16" s="136" t="str">
        <f t="shared" si="14"/>
        <v>1.10.</v>
      </c>
      <c r="AL16" s="137" t="str">
        <f t="shared" si="15"/>
        <v>Продукция (услуга, работа)</v>
      </c>
      <c r="AM16" s="132">
        <f>'Т 3'!AQ52*'Т 5'!$F$125+'Т 4'!AM13*'Исходные данные'!$N$7</f>
        <v>0</v>
      </c>
      <c r="AN16" s="132">
        <f>'Т 3'!AR52*'Т 5'!$F$125+'Т 4'!AN13*'Исходные данные'!$N$7</f>
        <v>0</v>
      </c>
      <c r="AO16" s="132">
        <f>'Т 3'!AS52*'Т 5'!$F$125+'Т 4'!AO13*'Исходные данные'!$N$7</f>
        <v>0</v>
      </c>
      <c r="AP16" s="132">
        <f>'Т 3'!AT52*'Т 5'!$F$125+'Т 4'!AP13*'Исходные данные'!$N$7</f>
        <v>0</v>
      </c>
      <c r="AQ16" s="132">
        <f t="shared" si="16"/>
        <v>0</v>
      </c>
      <c r="AR16" s="132">
        <f>'Т 3'!AV52*'Т 5'!$F$125+'Т 4'!AR13*'Исходные данные'!$N$7</f>
        <v>0</v>
      </c>
      <c r="AS16" s="132">
        <f>'Т 3'!AW52*'Т 5'!$F$125+'Т 4'!AS13*'Исходные данные'!$N$7</f>
        <v>0</v>
      </c>
      <c r="AT16" s="132">
        <f>'Т 3'!AX52*'Т 5'!$F$125+'Т 4'!AT13*'Исходные данные'!$N$7</f>
        <v>0</v>
      </c>
      <c r="AU16" s="132">
        <f>'Т 3'!AY52*'Т 5'!$F$125+'Т 4'!AU13*'Исходные данные'!$N$7</f>
        <v>0</v>
      </c>
      <c r="AV16" s="132">
        <f t="shared" si="17"/>
        <v>0</v>
      </c>
    </row>
    <row r="17" spans="1:48" ht="12.6" customHeight="1">
      <c r="A17" s="175" t="s">
        <v>68</v>
      </c>
      <c r="B17" s="130" t="s">
        <v>211</v>
      </c>
      <c r="C17" s="132">
        <f>C18+C23+C27</f>
        <v>173.875</v>
      </c>
      <c r="D17" s="132">
        <f>D18+D23+D27</f>
        <v>173.875</v>
      </c>
      <c r="E17" s="132">
        <f>E18+E23+E27</f>
        <v>173.875</v>
      </c>
      <c r="F17" s="132">
        <f>F18+F23+F27</f>
        <v>173.875</v>
      </c>
      <c r="G17" s="141">
        <f t="shared" si="4"/>
        <v>695.5</v>
      </c>
      <c r="H17" s="132">
        <f>H18+H23+H27</f>
        <v>9413.8587539548025</v>
      </c>
      <c r="I17" s="132">
        <f>I18+I23+I27</f>
        <v>9413.8587539548025</v>
      </c>
      <c r="J17" s="132">
        <f>J18+J23+J27</f>
        <v>9413.8587539548025</v>
      </c>
      <c r="K17" s="132">
        <f>K18+K23+K27</f>
        <v>9413.8587539548025</v>
      </c>
      <c r="L17" s="141">
        <f t="shared" si="5"/>
        <v>37655.43501581921</v>
      </c>
      <c r="M17" s="175" t="str">
        <f t="shared" si="6"/>
        <v>2.</v>
      </c>
      <c r="N17" s="130" t="str">
        <f t="shared" si="7"/>
        <v>Постоянные затраты, в т.ч.:</v>
      </c>
      <c r="O17" s="132">
        <f>O18+O23+O27</f>
        <v>9413.8587539548025</v>
      </c>
      <c r="P17" s="132">
        <f>P18+P23+P27</f>
        <v>9413.8587539548025</v>
      </c>
      <c r="Q17" s="132">
        <f>Q18+Q23+Q27</f>
        <v>9413.8587539548025</v>
      </c>
      <c r="R17" s="132">
        <f>R18+R23+R27</f>
        <v>9413.8587539548025</v>
      </c>
      <c r="S17" s="141">
        <f t="shared" si="8"/>
        <v>37655.43501581921</v>
      </c>
      <c r="T17" s="132">
        <f>T18+T23+T27</f>
        <v>9413.8587539548025</v>
      </c>
      <c r="U17" s="132">
        <f>U18+U23+U27</f>
        <v>9413.8587539548025</v>
      </c>
      <c r="V17" s="132">
        <f>V18+V23+V27</f>
        <v>9413.8587539548025</v>
      </c>
      <c r="W17" s="132">
        <f>W18+W23+W27</f>
        <v>9413.8587539548025</v>
      </c>
      <c r="X17" s="141">
        <f t="shared" si="9"/>
        <v>37655.43501581921</v>
      </c>
      <c r="Y17" s="175" t="str">
        <f t="shared" si="10"/>
        <v>2.</v>
      </c>
      <c r="Z17" s="130" t="str">
        <f t="shared" si="11"/>
        <v>Постоянные затраты, в т.ч.:</v>
      </c>
      <c r="AA17" s="132">
        <f>AA18+AA23+AA27</f>
        <v>9413.8587539548025</v>
      </c>
      <c r="AB17" s="132">
        <f>AB18+AB23+AB27</f>
        <v>9413.8587539548025</v>
      </c>
      <c r="AC17" s="132">
        <f>AC18+AC23+AC27</f>
        <v>9413.8587539548025</v>
      </c>
      <c r="AD17" s="132">
        <f>AD18+AD23+AD27</f>
        <v>9413.8587539548025</v>
      </c>
      <c r="AE17" s="141">
        <f t="shared" si="12"/>
        <v>37655.43501581921</v>
      </c>
      <c r="AF17" s="132">
        <f>AF18+AF23+AF27</f>
        <v>9413.8587539548025</v>
      </c>
      <c r="AG17" s="132">
        <f>AG18+AG23+AG27</f>
        <v>9413.8587539548025</v>
      </c>
      <c r="AH17" s="132">
        <f>AH18+AH23+AH27</f>
        <v>9413.8587539548025</v>
      </c>
      <c r="AI17" s="132">
        <f>AI18+AI23+AI27</f>
        <v>9413.8587539548025</v>
      </c>
      <c r="AJ17" s="141">
        <f t="shared" si="13"/>
        <v>37655.43501581921</v>
      </c>
      <c r="AK17" s="175" t="str">
        <f t="shared" si="14"/>
        <v>2.</v>
      </c>
      <c r="AL17" s="130" t="str">
        <f t="shared" si="15"/>
        <v>Постоянные затраты, в т.ч.:</v>
      </c>
      <c r="AM17" s="132">
        <f>AM18+AM23+AM27</f>
        <v>9413.8587539548025</v>
      </c>
      <c r="AN17" s="132">
        <f>AN18+AN23+AN27</f>
        <v>9413.8587539548025</v>
      </c>
      <c r="AO17" s="132">
        <f>AO18+AO23+AO27</f>
        <v>9413.8587539548025</v>
      </c>
      <c r="AP17" s="132">
        <f>AP18+AP23+AP27</f>
        <v>9413.8587539548025</v>
      </c>
      <c r="AQ17" s="141">
        <f t="shared" si="16"/>
        <v>37655.43501581921</v>
      </c>
      <c r="AR17" s="132">
        <f>AR18+AR23+AR27</f>
        <v>9413.8587539548025</v>
      </c>
      <c r="AS17" s="132">
        <f>AS18+AS23+AS27</f>
        <v>9413.8587539548025</v>
      </c>
      <c r="AT17" s="132">
        <f>AT18+AT23+AT27</f>
        <v>9413.8587539548025</v>
      </c>
      <c r="AU17" s="132">
        <f>AU18+AU23+AU27</f>
        <v>9413.8587539548025</v>
      </c>
      <c r="AV17" s="141">
        <f t="shared" si="17"/>
        <v>37655.43501581921</v>
      </c>
    </row>
    <row r="18" spans="1:48" ht="22.65" customHeight="1">
      <c r="A18" s="140" t="s">
        <v>94</v>
      </c>
      <c r="B18" s="130" t="s">
        <v>212</v>
      </c>
      <c r="C18" s="132">
        <f>SUM(C19:C22)</f>
        <v>0</v>
      </c>
      <c r="D18" s="132">
        <f>SUM(D19:D22)</f>
        <v>0</v>
      </c>
      <c r="E18" s="132">
        <f>SUM(E19:E22)</f>
        <v>0</v>
      </c>
      <c r="F18" s="132">
        <f>SUM(F19:F22)</f>
        <v>0</v>
      </c>
      <c r="G18" s="132">
        <f t="shared" si="4"/>
        <v>0</v>
      </c>
      <c r="H18" s="132">
        <f>SUM(H19:H22)</f>
        <v>6585.4194039548029</v>
      </c>
      <c r="I18" s="132">
        <f>SUM(I19:I22)</f>
        <v>6585.4194039548029</v>
      </c>
      <c r="J18" s="132">
        <f>SUM(J19:J22)</f>
        <v>6585.4194039548029</v>
      </c>
      <c r="K18" s="132">
        <f>SUM(K19:K22)</f>
        <v>6585.4194039548029</v>
      </c>
      <c r="L18" s="132">
        <f t="shared" si="5"/>
        <v>26341.677615819211</v>
      </c>
      <c r="M18" s="140" t="str">
        <f t="shared" si="6"/>
        <v>2.1.</v>
      </c>
      <c r="N18" s="130" t="str">
        <f t="shared" si="7"/>
        <v>общепроизводственные расходы</v>
      </c>
      <c r="O18" s="132">
        <f>SUM(O19:O22)</f>
        <v>6585.4194039548029</v>
      </c>
      <c r="P18" s="132">
        <f>SUM(P19:P22)</f>
        <v>6585.4194039548029</v>
      </c>
      <c r="Q18" s="132">
        <f>SUM(Q19:Q22)</f>
        <v>6585.4194039548029</v>
      </c>
      <c r="R18" s="132">
        <f>SUM(R19:R22)</f>
        <v>6585.4194039548029</v>
      </c>
      <c r="S18" s="132">
        <f t="shared" si="8"/>
        <v>26341.677615819211</v>
      </c>
      <c r="T18" s="132">
        <f>SUM(T19:T22)</f>
        <v>6585.4194039548029</v>
      </c>
      <c r="U18" s="132">
        <f>SUM(U19:U22)</f>
        <v>6585.4194039548029</v>
      </c>
      <c r="V18" s="132">
        <f>SUM(V19:V22)</f>
        <v>6585.4194039548029</v>
      </c>
      <c r="W18" s="132">
        <f>SUM(W19:W22)</f>
        <v>6585.4194039548029</v>
      </c>
      <c r="X18" s="132">
        <f t="shared" si="9"/>
        <v>26341.677615819211</v>
      </c>
      <c r="Y18" s="140" t="str">
        <f t="shared" si="10"/>
        <v>2.1.</v>
      </c>
      <c r="Z18" s="130" t="str">
        <f t="shared" si="11"/>
        <v>общепроизводственные расходы</v>
      </c>
      <c r="AA18" s="132">
        <f>SUM(AA19:AA22)</f>
        <v>6585.4194039548029</v>
      </c>
      <c r="AB18" s="132">
        <f>SUM(AB19:AB22)</f>
        <v>6585.4194039548029</v>
      </c>
      <c r="AC18" s="132">
        <f>SUM(AC19:AC22)</f>
        <v>6585.4194039548029</v>
      </c>
      <c r="AD18" s="132">
        <f>SUM(AD19:AD22)</f>
        <v>6585.4194039548029</v>
      </c>
      <c r="AE18" s="132">
        <f t="shared" si="12"/>
        <v>26341.677615819211</v>
      </c>
      <c r="AF18" s="132">
        <f>SUM(AF19:AF22)</f>
        <v>6585.4194039548029</v>
      </c>
      <c r="AG18" s="132">
        <f>SUM(AG19:AG22)</f>
        <v>6585.4194039548029</v>
      </c>
      <c r="AH18" s="132">
        <f>SUM(AH19:AH22)</f>
        <v>6585.4194039548029</v>
      </c>
      <c r="AI18" s="132">
        <f>SUM(AI19:AI22)</f>
        <v>6585.4194039548029</v>
      </c>
      <c r="AJ18" s="132">
        <f t="shared" si="13"/>
        <v>26341.677615819211</v>
      </c>
      <c r="AK18" s="140" t="str">
        <f t="shared" si="14"/>
        <v>2.1.</v>
      </c>
      <c r="AL18" s="130" t="str">
        <f t="shared" si="15"/>
        <v>общепроизводственные расходы</v>
      </c>
      <c r="AM18" s="132">
        <f>SUM(AM19:AM22)</f>
        <v>6585.4194039548029</v>
      </c>
      <c r="AN18" s="132">
        <f>SUM(AN19:AN22)</f>
        <v>6585.4194039548029</v>
      </c>
      <c r="AO18" s="132">
        <f>SUM(AO19:AO22)</f>
        <v>6585.4194039548029</v>
      </c>
      <c r="AP18" s="132">
        <f>SUM(AP19:AP22)</f>
        <v>6585.4194039548029</v>
      </c>
      <c r="AQ18" s="132">
        <f t="shared" si="16"/>
        <v>26341.677615819211</v>
      </c>
      <c r="AR18" s="132">
        <f>SUM(AR19:AR22)</f>
        <v>6585.4194039548029</v>
      </c>
      <c r="AS18" s="132">
        <f>SUM(AS19:AS22)</f>
        <v>6585.4194039548029</v>
      </c>
      <c r="AT18" s="132">
        <f>SUM(AT19:AT22)</f>
        <v>6585.4194039548029</v>
      </c>
      <c r="AU18" s="132">
        <f>SUM(AU19:AU22)</f>
        <v>6585.4194039548029</v>
      </c>
      <c r="AV18" s="132">
        <f t="shared" si="17"/>
        <v>26341.677615819211</v>
      </c>
    </row>
    <row r="19" spans="1:48" ht="12.6" customHeight="1">
      <c r="A19" s="178"/>
      <c r="B19" s="137" t="s">
        <v>213</v>
      </c>
      <c r="C19" s="132">
        <v>0</v>
      </c>
      <c r="D19" s="132">
        <f>C19</f>
        <v>0</v>
      </c>
      <c r="E19" s="132">
        <f>D19</f>
        <v>0</v>
      </c>
      <c r="F19" s="132">
        <f>E19</f>
        <v>0</v>
      </c>
      <c r="G19" s="132">
        <f t="shared" si="4"/>
        <v>0</v>
      </c>
      <c r="H19" s="132">
        <f>G19</f>
        <v>0</v>
      </c>
      <c r="I19" s="132">
        <f>H19</f>
        <v>0</v>
      </c>
      <c r="J19" s="132">
        <f>I19</f>
        <v>0</v>
      </c>
      <c r="K19" s="132">
        <f>J19</f>
        <v>0</v>
      </c>
      <c r="L19" s="132">
        <f t="shared" si="5"/>
        <v>0</v>
      </c>
      <c r="M19" s="178"/>
      <c r="N19" s="137" t="str">
        <f t="shared" ref="N19:N31" si="18">B19</f>
        <v xml:space="preserve">   затраты на топливо</v>
      </c>
      <c r="O19" s="132">
        <v>0</v>
      </c>
      <c r="P19" s="132">
        <f>O19</f>
        <v>0</v>
      </c>
      <c r="Q19" s="132">
        <f>P19</f>
        <v>0</v>
      </c>
      <c r="R19" s="132">
        <f>Q19</f>
        <v>0</v>
      </c>
      <c r="S19" s="132">
        <f t="shared" si="8"/>
        <v>0</v>
      </c>
      <c r="T19" s="132">
        <f>S19</f>
        <v>0</v>
      </c>
      <c r="U19" s="132">
        <f>T19</f>
        <v>0</v>
      </c>
      <c r="V19" s="132">
        <f>U19</f>
        <v>0</v>
      </c>
      <c r="W19" s="132">
        <f>V19</f>
        <v>0</v>
      </c>
      <c r="X19" s="132">
        <f t="shared" si="9"/>
        <v>0</v>
      </c>
      <c r="Y19" s="178"/>
      <c r="Z19" s="137" t="str">
        <f t="shared" ref="Z19:Z31" si="19">N19</f>
        <v xml:space="preserve">   затраты на топливо</v>
      </c>
      <c r="AA19" s="132">
        <f>W19</f>
        <v>0</v>
      </c>
      <c r="AB19" s="132">
        <f>AA19</f>
        <v>0</v>
      </c>
      <c r="AC19" s="132">
        <f>AB19</f>
        <v>0</v>
      </c>
      <c r="AD19" s="132">
        <f>AC19</f>
        <v>0</v>
      </c>
      <c r="AE19" s="132">
        <f t="shared" si="12"/>
        <v>0</v>
      </c>
      <c r="AF19" s="132">
        <f>AD19</f>
        <v>0</v>
      </c>
      <c r="AG19" s="132">
        <f>AF19</f>
        <v>0</v>
      </c>
      <c r="AH19" s="132">
        <f>AG19</f>
        <v>0</v>
      </c>
      <c r="AI19" s="132">
        <f>AH19</f>
        <v>0</v>
      </c>
      <c r="AJ19" s="132">
        <f t="shared" si="13"/>
        <v>0</v>
      </c>
      <c r="AK19" s="178"/>
      <c r="AL19" s="137" t="str">
        <f t="shared" ref="AL19:AL31" si="20">Z19</f>
        <v xml:space="preserve">   затраты на топливо</v>
      </c>
      <c r="AM19" s="132">
        <f>AI19</f>
        <v>0</v>
      </c>
      <c r="AN19" s="132">
        <f>AM19</f>
        <v>0</v>
      </c>
      <c r="AO19" s="132">
        <f>AN19</f>
        <v>0</v>
      </c>
      <c r="AP19" s="132">
        <f>AO19</f>
        <v>0</v>
      </c>
      <c r="AQ19" s="132">
        <f t="shared" si="16"/>
        <v>0</v>
      </c>
      <c r="AR19" s="132">
        <f>AP19</f>
        <v>0</v>
      </c>
      <c r="AS19" s="132">
        <f>AR19</f>
        <v>0</v>
      </c>
      <c r="AT19" s="132">
        <f>AS19</f>
        <v>0</v>
      </c>
      <c r="AU19" s="132">
        <f>AT19</f>
        <v>0</v>
      </c>
      <c r="AV19" s="132">
        <f t="shared" si="17"/>
        <v>0</v>
      </c>
    </row>
    <row r="20" spans="1:48" ht="12.6" customHeight="1">
      <c r="A20" s="178"/>
      <c r="B20" s="137" t="s">
        <v>214</v>
      </c>
      <c r="C20" s="132">
        <f>'Т 4'!C16</f>
        <v>0</v>
      </c>
      <c r="D20" s="132">
        <f>'Т 4'!D16</f>
        <v>0</v>
      </c>
      <c r="E20" s="132">
        <f>'Т 4'!E16</f>
        <v>0</v>
      </c>
      <c r="F20" s="132">
        <f>'Т 4'!F16</f>
        <v>0</v>
      </c>
      <c r="G20" s="132">
        <f t="shared" si="4"/>
        <v>0</v>
      </c>
      <c r="H20" s="132">
        <f>'Т 4'!H16</f>
        <v>2343.6</v>
      </c>
      <c r="I20" s="132">
        <f>'Т 4'!I16</f>
        <v>2343.6</v>
      </c>
      <c r="J20" s="132">
        <f>'Т 4'!J16</f>
        <v>2343.6</v>
      </c>
      <c r="K20" s="132">
        <f>'Т 4'!K16</f>
        <v>2343.6</v>
      </c>
      <c r="L20" s="132">
        <f t="shared" si="5"/>
        <v>9374.4</v>
      </c>
      <c r="M20" s="178"/>
      <c r="N20" s="137" t="str">
        <f t="shared" si="18"/>
        <v xml:space="preserve">   расходы на ИТР</v>
      </c>
      <c r="O20" s="132">
        <f>'Т 4'!O16</f>
        <v>2343.6</v>
      </c>
      <c r="P20" s="132">
        <f>'Т 4'!P16</f>
        <v>2343.6</v>
      </c>
      <c r="Q20" s="132">
        <f>'Т 4'!Q16</f>
        <v>2343.6</v>
      </c>
      <c r="R20" s="132">
        <f>'Т 4'!R16</f>
        <v>2343.6</v>
      </c>
      <c r="S20" s="132">
        <f t="shared" si="8"/>
        <v>9374.4</v>
      </c>
      <c r="T20" s="132">
        <f>'Т 4'!T16</f>
        <v>2343.6</v>
      </c>
      <c r="U20" s="132">
        <f>'Т 4'!U16</f>
        <v>2343.6</v>
      </c>
      <c r="V20" s="132">
        <f>'Т 4'!V16</f>
        <v>2343.6</v>
      </c>
      <c r="W20" s="132">
        <f>'Т 4'!W16</f>
        <v>2343.6</v>
      </c>
      <c r="X20" s="132">
        <f t="shared" si="9"/>
        <v>9374.4</v>
      </c>
      <c r="Y20" s="178"/>
      <c r="Z20" s="137" t="str">
        <f t="shared" si="19"/>
        <v xml:space="preserve">   расходы на ИТР</v>
      </c>
      <c r="AA20" s="132">
        <f>'Т 4'!AA16</f>
        <v>2343.6</v>
      </c>
      <c r="AB20" s="132">
        <f>'Т 4'!AB16</f>
        <v>2343.6</v>
      </c>
      <c r="AC20" s="132">
        <f>'Т 4'!AC16</f>
        <v>2343.6</v>
      </c>
      <c r="AD20" s="132">
        <f>'Т 4'!AD16</f>
        <v>2343.6</v>
      </c>
      <c r="AE20" s="132">
        <f t="shared" si="12"/>
        <v>9374.4</v>
      </c>
      <c r="AF20" s="132">
        <f>'Т 4'!AF16</f>
        <v>2343.6</v>
      </c>
      <c r="AG20" s="132">
        <f>'Т 4'!AG16</f>
        <v>2343.6</v>
      </c>
      <c r="AH20" s="132">
        <f>'Т 4'!AH16</f>
        <v>2343.6</v>
      </c>
      <c r="AI20" s="132">
        <f>'Т 4'!AI16</f>
        <v>2343.6</v>
      </c>
      <c r="AJ20" s="132">
        <f t="shared" si="13"/>
        <v>9374.4</v>
      </c>
      <c r="AK20" s="178"/>
      <c r="AL20" s="137" t="str">
        <f t="shared" si="20"/>
        <v xml:space="preserve">   расходы на ИТР</v>
      </c>
      <c r="AM20" s="132">
        <f>'Т 4'!AM16</f>
        <v>2343.6</v>
      </c>
      <c r="AN20" s="132">
        <f>'Т 4'!AN16</f>
        <v>2343.6</v>
      </c>
      <c r="AO20" s="132">
        <f>'Т 4'!AO16</f>
        <v>2343.6</v>
      </c>
      <c r="AP20" s="132">
        <f>'Т 4'!AP16</f>
        <v>2343.6</v>
      </c>
      <c r="AQ20" s="132">
        <f t="shared" si="16"/>
        <v>9374.4</v>
      </c>
      <c r="AR20" s="132">
        <f>'Т 4'!AR16</f>
        <v>2343.6</v>
      </c>
      <c r="AS20" s="132">
        <f>'Т 4'!AS16</f>
        <v>2343.6</v>
      </c>
      <c r="AT20" s="132">
        <f>'Т 4'!AT16</f>
        <v>2343.6</v>
      </c>
      <c r="AU20" s="132">
        <f>'Т 4'!AU16</f>
        <v>2343.6</v>
      </c>
      <c r="AV20" s="132">
        <f t="shared" si="17"/>
        <v>9374.4</v>
      </c>
    </row>
    <row r="21" spans="1:48" ht="12.75" customHeight="1">
      <c r="A21" s="178"/>
      <c r="B21" s="137" t="s">
        <v>215</v>
      </c>
      <c r="C21" s="132">
        <f>'Т 7'!D11</f>
        <v>0</v>
      </c>
      <c r="D21" s="132">
        <f>'Т 7'!E11</f>
        <v>0</v>
      </c>
      <c r="E21" s="132">
        <f>'Т 7'!F11</f>
        <v>0</v>
      </c>
      <c r="F21" s="132">
        <f>'Т 7'!G11</f>
        <v>0</v>
      </c>
      <c r="G21" s="132">
        <f>'Т 7'!H11</f>
        <v>0</v>
      </c>
      <c r="H21" s="132">
        <f>'Т 7'!I11</f>
        <v>4176.6172316384182</v>
      </c>
      <c r="I21" s="132">
        <f>'Т 7'!J11</f>
        <v>4176.6172316384182</v>
      </c>
      <c r="J21" s="132">
        <f>'Т 7'!K11</f>
        <v>4176.6172316384182</v>
      </c>
      <c r="K21" s="132">
        <f>'Т 7'!L11</f>
        <v>4176.6172316384182</v>
      </c>
      <c r="L21" s="132">
        <f>'Т 7'!M11</f>
        <v>16706.468926553673</v>
      </c>
      <c r="M21" s="178"/>
      <c r="N21" s="137" t="str">
        <f t="shared" si="18"/>
        <v xml:space="preserve">   амортизационные отчисления</v>
      </c>
      <c r="O21" s="132">
        <f>'Т 7'!Q11</f>
        <v>4176.6172316384182</v>
      </c>
      <c r="P21" s="132">
        <f>'Т 7'!R11</f>
        <v>4176.6172316384182</v>
      </c>
      <c r="Q21" s="132">
        <f>'Т 7'!S11</f>
        <v>4176.6172316384182</v>
      </c>
      <c r="R21" s="132">
        <f>'Т 7'!T11</f>
        <v>4176.6172316384182</v>
      </c>
      <c r="S21" s="132">
        <f>'Т 7'!T11</f>
        <v>4176.6172316384182</v>
      </c>
      <c r="T21" s="132">
        <f>'Т 7'!V11</f>
        <v>4176.6172316384182</v>
      </c>
      <c r="U21" s="132">
        <f>'Т 7'!W11</f>
        <v>4176.6172316384182</v>
      </c>
      <c r="V21" s="132">
        <f>'Т 7'!X11</f>
        <v>4176.6172316384182</v>
      </c>
      <c r="W21" s="132">
        <f>'Т 7'!Y11</f>
        <v>4176.6172316384182</v>
      </c>
      <c r="X21" s="132">
        <f>'Т 7'!Y11</f>
        <v>4176.6172316384182</v>
      </c>
      <c r="Y21" s="178"/>
      <c r="Z21" s="137" t="str">
        <f t="shared" si="19"/>
        <v xml:space="preserve">   амортизационные отчисления</v>
      </c>
      <c r="AA21" s="132">
        <f>'Т 7'!AD11</f>
        <v>4176.6172316384182</v>
      </c>
      <c r="AB21" s="132">
        <f>'Т 7'!AE11</f>
        <v>4176.6172316384182</v>
      </c>
      <c r="AC21" s="132">
        <f>'Т 7'!AF11</f>
        <v>4176.6172316384182</v>
      </c>
      <c r="AD21" s="132">
        <f>'Т 7'!AG11</f>
        <v>4176.6172316384182</v>
      </c>
      <c r="AE21" s="132">
        <f t="shared" si="12"/>
        <v>16706.468926553673</v>
      </c>
      <c r="AF21" s="132">
        <f>'Т 7'!AI11</f>
        <v>4176.6172316384182</v>
      </c>
      <c r="AG21" s="132">
        <f>'Т 7'!AJ11</f>
        <v>4176.6172316384182</v>
      </c>
      <c r="AH21" s="132">
        <f>'Т 7'!AK11</f>
        <v>4176.6172316384182</v>
      </c>
      <c r="AI21" s="132">
        <f>'Т 7'!AL11</f>
        <v>4176.6172316384182</v>
      </c>
      <c r="AJ21" s="132">
        <f t="shared" si="13"/>
        <v>16706.468926553673</v>
      </c>
      <c r="AK21" s="178"/>
      <c r="AL21" s="137" t="str">
        <f t="shared" si="20"/>
        <v xml:space="preserve">   амортизационные отчисления</v>
      </c>
      <c r="AM21" s="132">
        <f>'Т 7'!AQ11</f>
        <v>4176.6172316384182</v>
      </c>
      <c r="AN21" s="132">
        <f>'Т 7'!AR11</f>
        <v>4176.6172316384182</v>
      </c>
      <c r="AO21" s="132">
        <f>'Т 7'!AS11</f>
        <v>4176.6172316384182</v>
      </c>
      <c r="AP21" s="132">
        <f>'Т 7'!AT11</f>
        <v>4176.6172316384182</v>
      </c>
      <c r="AQ21" s="132">
        <f t="shared" si="16"/>
        <v>16706.468926553673</v>
      </c>
      <c r="AR21" s="132">
        <f>'Т 7'!AV11</f>
        <v>4176.6172316384182</v>
      </c>
      <c r="AS21" s="132">
        <f>'Т 7'!AW11</f>
        <v>4176.6172316384182</v>
      </c>
      <c r="AT21" s="132">
        <f>'Т 7'!AX11</f>
        <v>4176.6172316384182</v>
      </c>
      <c r="AU21" s="132">
        <f>'Т 7'!AY11</f>
        <v>4176.6172316384182</v>
      </c>
      <c r="AV21" s="132">
        <f t="shared" si="17"/>
        <v>16706.468926553673</v>
      </c>
    </row>
    <row r="22" spans="1:48" ht="12.6" customHeight="1">
      <c r="A22" s="178"/>
      <c r="B22" s="137" t="s">
        <v>216</v>
      </c>
      <c r="C22" s="132">
        <f>SUM(C19:C21)*$C$33</f>
        <v>0</v>
      </c>
      <c r="D22" s="132">
        <f>SUM(D19:D21)*$C$33</f>
        <v>0</v>
      </c>
      <c r="E22" s="132">
        <f>SUM(E19:E21)*$C$33</f>
        <v>0</v>
      </c>
      <c r="F22" s="132">
        <f>SUM(F19:F21)*$C$33</f>
        <v>0</v>
      </c>
      <c r="G22" s="132">
        <f t="shared" ref="G22:G30" si="21">C22+D22+E22+F22</f>
        <v>0</v>
      </c>
      <c r="H22" s="132">
        <f>SUM(H19:H21)*$C$33</f>
        <v>65.202172316384193</v>
      </c>
      <c r="I22" s="132">
        <f>SUM(I19:I21)*$C$33</f>
        <v>65.202172316384193</v>
      </c>
      <c r="J22" s="132">
        <f>SUM(J19:J21)*$C$33</f>
        <v>65.202172316384193</v>
      </c>
      <c r="K22" s="132">
        <f>SUM(K19:K21)*$C$33</f>
        <v>65.202172316384193</v>
      </c>
      <c r="L22" s="132">
        <f t="shared" ref="L22:L30" si="22">H22+I22+J22+K22</f>
        <v>260.80868926553677</v>
      </c>
      <c r="M22" s="178"/>
      <c r="N22" s="137" t="str">
        <f t="shared" si="18"/>
        <v xml:space="preserve">   прочее</v>
      </c>
      <c r="O22" s="132">
        <f>SUM(O19:O21)*$C$33</f>
        <v>65.202172316384193</v>
      </c>
      <c r="P22" s="132">
        <f>SUM(P19:P21)*$C$33</f>
        <v>65.202172316384193</v>
      </c>
      <c r="Q22" s="132">
        <f>SUM(Q19:Q21)*$C$33</f>
        <v>65.202172316384193</v>
      </c>
      <c r="R22" s="132">
        <f>SUM(R19:R21)*$C$33</f>
        <v>65.202172316384193</v>
      </c>
      <c r="S22" s="132">
        <f t="shared" ref="S22:S30" si="23">O22+P22+Q22+R22</f>
        <v>260.80868926553677</v>
      </c>
      <c r="T22" s="132">
        <f>SUM(T19:T21)*$C$33</f>
        <v>65.202172316384193</v>
      </c>
      <c r="U22" s="132">
        <f>SUM(U19:U21)*$C$33</f>
        <v>65.202172316384193</v>
      </c>
      <c r="V22" s="132">
        <f>SUM(V19:V21)*$C$33</f>
        <v>65.202172316384193</v>
      </c>
      <c r="W22" s="132">
        <f>SUM(W19:W21)*$C$33</f>
        <v>65.202172316384193</v>
      </c>
      <c r="X22" s="132">
        <f t="shared" ref="X22:X30" si="24">T22+U22+V22+W22</f>
        <v>260.80868926553677</v>
      </c>
      <c r="Y22" s="178"/>
      <c r="Z22" s="137" t="str">
        <f t="shared" si="19"/>
        <v xml:space="preserve">   прочее</v>
      </c>
      <c r="AA22" s="132">
        <f>SUM(AA19:AA21)*$C$33</f>
        <v>65.202172316384193</v>
      </c>
      <c r="AB22" s="132">
        <f>SUM(AB19:AB21)*$C$33</f>
        <v>65.202172316384193</v>
      </c>
      <c r="AC22" s="132">
        <f>SUM(AC19:AC21)*$C$33</f>
        <v>65.202172316384193</v>
      </c>
      <c r="AD22" s="132">
        <f>SUM(AD19:AD21)*$C$33</f>
        <v>65.202172316384193</v>
      </c>
      <c r="AE22" s="132">
        <f t="shared" si="12"/>
        <v>260.80868926553677</v>
      </c>
      <c r="AF22" s="132">
        <f>SUM(AF19:AF21)*$C$33</f>
        <v>65.202172316384193</v>
      </c>
      <c r="AG22" s="132">
        <f>SUM(AG19:AG21)*$C$33</f>
        <v>65.202172316384193</v>
      </c>
      <c r="AH22" s="132">
        <f>SUM(AH19:AH21)*$C$33</f>
        <v>65.202172316384193</v>
      </c>
      <c r="AI22" s="132">
        <f>SUM(AI19:AI21)*$C$33</f>
        <v>65.202172316384193</v>
      </c>
      <c r="AJ22" s="132">
        <f t="shared" si="13"/>
        <v>260.80868926553677</v>
      </c>
      <c r="AK22" s="178"/>
      <c r="AL22" s="137" t="str">
        <f t="shared" si="20"/>
        <v xml:space="preserve">   прочее</v>
      </c>
      <c r="AM22" s="132">
        <f>SUM(AM19:AM21)*$C$33</f>
        <v>65.202172316384193</v>
      </c>
      <c r="AN22" s="132">
        <f>SUM(AN19:AN21)*$C$33</f>
        <v>65.202172316384193</v>
      </c>
      <c r="AO22" s="132">
        <f>SUM(AO19:AO21)*$C$33</f>
        <v>65.202172316384193</v>
      </c>
      <c r="AP22" s="132">
        <f>SUM(AP19:AP21)*$C$33</f>
        <v>65.202172316384193</v>
      </c>
      <c r="AQ22" s="132">
        <f t="shared" si="16"/>
        <v>260.80868926553677</v>
      </c>
      <c r="AR22" s="132">
        <f>SUM(AR19:AR21)*$C$33</f>
        <v>65.202172316384193</v>
      </c>
      <c r="AS22" s="132">
        <f>SUM(AS19:AS21)*$C$33</f>
        <v>65.202172316384193</v>
      </c>
      <c r="AT22" s="132">
        <f>SUM(AT19:AT21)*$C$33</f>
        <v>65.202172316384193</v>
      </c>
      <c r="AU22" s="132">
        <f>SUM(AU19:AU21)*$C$33</f>
        <v>65.202172316384193</v>
      </c>
      <c r="AV22" s="132">
        <f t="shared" si="17"/>
        <v>260.80868926553677</v>
      </c>
    </row>
    <row r="23" spans="1:48" ht="12.6" customHeight="1">
      <c r="A23" s="140" t="s">
        <v>96</v>
      </c>
      <c r="B23" s="130" t="s">
        <v>217</v>
      </c>
      <c r="C23" s="132">
        <f>SUM(C24:C26)</f>
        <v>173.875</v>
      </c>
      <c r="D23" s="132">
        <f>SUM(D24:D26)</f>
        <v>173.875</v>
      </c>
      <c r="E23" s="132">
        <f>SUM(E24:E26)</f>
        <v>173.875</v>
      </c>
      <c r="F23" s="132">
        <f>SUM(F24:F26)</f>
        <v>173.875</v>
      </c>
      <c r="G23" s="132">
        <f t="shared" si="21"/>
        <v>695.5</v>
      </c>
      <c r="H23" s="132">
        <f>SUM(H24:H26)</f>
        <v>2227.04495</v>
      </c>
      <c r="I23" s="132">
        <f>SUM(I24:I26)</f>
        <v>2227.04495</v>
      </c>
      <c r="J23" s="132">
        <f>SUM(J24:J26)</f>
        <v>2227.04495</v>
      </c>
      <c r="K23" s="132">
        <f>SUM(K24:K26)</f>
        <v>2227.04495</v>
      </c>
      <c r="L23" s="132">
        <f t="shared" si="22"/>
        <v>8908.1797999999999</v>
      </c>
      <c r="M23" s="140" t="str">
        <f>A23</f>
        <v>2.2.</v>
      </c>
      <c r="N23" s="130" t="str">
        <f t="shared" si="18"/>
        <v>общехозяйственные расходы</v>
      </c>
      <c r="O23" s="132">
        <f>SUM(O24:O26)</f>
        <v>2227.04495</v>
      </c>
      <c r="P23" s="132">
        <f>SUM(P24:P26)</f>
        <v>2227.04495</v>
      </c>
      <c r="Q23" s="132">
        <f>SUM(Q24:Q26)</f>
        <v>2227.04495</v>
      </c>
      <c r="R23" s="132">
        <f>SUM(R24:R26)</f>
        <v>2227.04495</v>
      </c>
      <c r="S23" s="132">
        <f t="shared" si="23"/>
        <v>8908.1797999999999</v>
      </c>
      <c r="T23" s="132">
        <f>SUM(T24:T26)</f>
        <v>2227.04495</v>
      </c>
      <c r="U23" s="132">
        <f>SUM(U24:U26)</f>
        <v>2227.04495</v>
      </c>
      <c r="V23" s="132">
        <f>SUM(V24:V26)</f>
        <v>2227.04495</v>
      </c>
      <c r="W23" s="132">
        <f>SUM(W24:W26)</f>
        <v>2227.04495</v>
      </c>
      <c r="X23" s="132">
        <f t="shared" si="24"/>
        <v>8908.1797999999999</v>
      </c>
      <c r="Y23" s="140" t="str">
        <f>M23</f>
        <v>2.2.</v>
      </c>
      <c r="Z23" s="130" t="str">
        <f t="shared" si="19"/>
        <v>общехозяйственные расходы</v>
      </c>
      <c r="AA23" s="132">
        <f>SUM(AA24:AA26)</f>
        <v>2227.04495</v>
      </c>
      <c r="AB23" s="132">
        <f>SUM(AB24:AB26)</f>
        <v>2227.04495</v>
      </c>
      <c r="AC23" s="132">
        <f>SUM(AC24:AC26)</f>
        <v>2227.04495</v>
      </c>
      <c r="AD23" s="132">
        <f>SUM(AD24:AD26)</f>
        <v>2227.04495</v>
      </c>
      <c r="AE23" s="132">
        <f t="shared" si="12"/>
        <v>8908.1797999999999</v>
      </c>
      <c r="AF23" s="132">
        <f>SUM(AF24:AF26)</f>
        <v>2227.04495</v>
      </c>
      <c r="AG23" s="132">
        <f>SUM(AG24:AG26)</f>
        <v>2227.04495</v>
      </c>
      <c r="AH23" s="132">
        <f>SUM(AH24:AH26)</f>
        <v>2227.04495</v>
      </c>
      <c r="AI23" s="132">
        <f>SUM(AI24:AI26)</f>
        <v>2227.04495</v>
      </c>
      <c r="AJ23" s="132">
        <f t="shared" si="13"/>
        <v>8908.1797999999999</v>
      </c>
      <c r="AK23" s="140" t="str">
        <f>Y23</f>
        <v>2.2.</v>
      </c>
      <c r="AL23" s="130" t="str">
        <f t="shared" si="20"/>
        <v>общехозяйственные расходы</v>
      </c>
      <c r="AM23" s="132">
        <f>SUM(AM24:AM26)</f>
        <v>2227.04495</v>
      </c>
      <c r="AN23" s="132">
        <f>SUM(AN24:AN26)</f>
        <v>2227.04495</v>
      </c>
      <c r="AO23" s="132">
        <f>SUM(AO24:AO26)</f>
        <v>2227.04495</v>
      </c>
      <c r="AP23" s="132">
        <f>SUM(AP24:AP26)</f>
        <v>2227.04495</v>
      </c>
      <c r="AQ23" s="132">
        <f t="shared" si="16"/>
        <v>8908.1797999999999</v>
      </c>
      <c r="AR23" s="132">
        <f>SUM(AR24:AR26)</f>
        <v>2227.04495</v>
      </c>
      <c r="AS23" s="132">
        <f>SUM(AS24:AS26)</f>
        <v>2227.04495</v>
      </c>
      <c r="AT23" s="132">
        <f>SUM(AT24:AT26)</f>
        <v>2227.04495</v>
      </c>
      <c r="AU23" s="132">
        <f>SUM(AU24:AU26)</f>
        <v>2227.04495</v>
      </c>
      <c r="AV23" s="132">
        <f t="shared" si="17"/>
        <v>8908.1797999999999</v>
      </c>
    </row>
    <row r="24" spans="1:48" ht="12.6" customHeight="1">
      <c r="A24" s="143"/>
      <c r="B24" s="137" t="s">
        <v>218</v>
      </c>
      <c r="C24" s="132">
        <f>'Т 4'!C19</f>
        <v>0</v>
      </c>
      <c r="D24" s="132">
        <f>'Т 4'!D19</f>
        <v>0</v>
      </c>
      <c r="E24" s="132">
        <f>'Т 4'!E19</f>
        <v>0</v>
      </c>
      <c r="F24" s="132">
        <f>'Т 4'!F19</f>
        <v>0</v>
      </c>
      <c r="G24" s="132">
        <f t="shared" si="21"/>
        <v>0</v>
      </c>
      <c r="H24" s="132">
        <f>'Т 4'!H19</f>
        <v>2031.12</v>
      </c>
      <c r="I24" s="132">
        <f>'Т 4'!I19</f>
        <v>2031.12</v>
      </c>
      <c r="J24" s="132">
        <f>'Т 4'!J19</f>
        <v>2031.12</v>
      </c>
      <c r="K24" s="132">
        <f>'Т 4'!K19</f>
        <v>2031.12</v>
      </c>
      <c r="L24" s="132">
        <f t="shared" si="22"/>
        <v>8124.48</v>
      </c>
      <c r="M24" s="143"/>
      <c r="N24" s="137" t="str">
        <f t="shared" si="18"/>
        <v xml:space="preserve">   расходы на АУП</v>
      </c>
      <c r="O24" s="132">
        <f>'Т 4'!O19</f>
        <v>2031.12</v>
      </c>
      <c r="P24" s="132">
        <f>'Т 4'!P19</f>
        <v>2031.12</v>
      </c>
      <c r="Q24" s="132">
        <f>'Т 4'!Q19</f>
        <v>2031.12</v>
      </c>
      <c r="R24" s="132">
        <f>'Т 4'!R19</f>
        <v>2031.12</v>
      </c>
      <c r="S24" s="132">
        <f t="shared" si="23"/>
        <v>8124.48</v>
      </c>
      <c r="T24" s="132">
        <f>'Т 4'!T19</f>
        <v>2031.12</v>
      </c>
      <c r="U24" s="132">
        <f>'Т 4'!U19</f>
        <v>2031.12</v>
      </c>
      <c r="V24" s="132">
        <f>'Т 4'!V19</f>
        <v>2031.12</v>
      </c>
      <c r="W24" s="132">
        <f>'Т 4'!W19</f>
        <v>2031.12</v>
      </c>
      <c r="X24" s="132">
        <f t="shared" si="24"/>
        <v>8124.48</v>
      </c>
      <c r="Y24" s="143"/>
      <c r="Z24" s="137" t="str">
        <f t="shared" si="19"/>
        <v xml:space="preserve">   расходы на АУП</v>
      </c>
      <c r="AA24" s="132">
        <f>'Т 4'!AA19</f>
        <v>2031.12</v>
      </c>
      <c r="AB24" s="132">
        <f>'Т 4'!AB19</f>
        <v>2031.12</v>
      </c>
      <c r="AC24" s="132">
        <f>'Т 4'!AC19</f>
        <v>2031.12</v>
      </c>
      <c r="AD24" s="132">
        <f>'Т 4'!AD19</f>
        <v>2031.12</v>
      </c>
      <c r="AE24" s="132">
        <f t="shared" si="12"/>
        <v>8124.48</v>
      </c>
      <c r="AF24" s="132">
        <f>'Т 4'!AF19</f>
        <v>2031.12</v>
      </c>
      <c r="AG24" s="132">
        <f>'Т 4'!AG19</f>
        <v>2031.12</v>
      </c>
      <c r="AH24" s="132">
        <f>'Т 4'!AH19</f>
        <v>2031.12</v>
      </c>
      <c r="AI24" s="132">
        <f>'Т 4'!AI19</f>
        <v>2031.12</v>
      </c>
      <c r="AJ24" s="132">
        <f t="shared" si="13"/>
        <v>8124.48</v>
      </c>
      <c r="AK24" s="143"/>
      <c r="AL24" s="137" t="str">
        <f t="shared" si="20"/>
        <v xml:space="preserve">   расходы на АУП</v>
      </c>
      <c r="AM24" s="132">
        <f>'Т 4'!AM19</f>
        <v>2031.12</v>
      </c>
      <c r="AN24" s="132">
        <f>'Т 4'!AN19</f>
        <v>2031.12</v>
      </c>
      <c r="AO24" s="132">
        <f>'Т 4'!AO19</f>
        <v>2031.12</v>
      </c>
      <c r="AP24" s="132">
        <f>'Т 4'!AP19</f>
        <v>2031.12</v>
      </c>
      <c r="AQ24" s="132">
        <f t="shared" si="16"/>
        <v>8124.48</v>
      </c>
      <c r="AR24" s="132">
        <f>'Т 4'!AR19</f>
        <v>2031.12</v>
      </c>
      <c r="AS24" s="132">
        <f>'Т 4'!AS19</f>
        <v>2031.12</v>
      </c>
      <c r="AT24" s="132">
        <f>'Т 4'!AT19</f>
        <v>2031.12</v>
      </c>
      <c r="AU24" s="132">
        <f>'Т 4'!AU19</f>
        <v>2031.12</v>
      </c>
      <c r="AV24" s="132">
        <f t="shared" si="17"/>
        <v>8124.48</v>
      </c>
    </row>
    <row r="25" spans="1:48" ht="12.6" customHeight="1">
      <c r="A25" s="143"/>
      <c r="B25" s="137" t="s">
        <v>219</v>
      </c>
      <c r="C25" s="132">
        <f>'Исходные данные'!B16</f>
        <v>173.875</v>
      </c>
      <c r="D25" s="132">
        <f>C25</f>
        <v>173.875</v>
      </c>
      <c r="E25" s="132">
        <f>D25</f>
        <v>173.875</v>
      </c>
      <c r="F25" s="132">
        <f>E25</f>
        <v>173.875</v>
      </c>
      <c r="G25" s="132">
        <f t="shared" si="21"/>
        <v>695.5</v>
      </c>
      <c r="H25" s="132">
        <f>'Исходные данные'!B16</f>
        <v>173.875</v>
      </c>
      <c r="I25" s="132">
        <f>H25</f>
        <v>173.875</v>
      </c>
      <c r="J25" s="132">
        <f>I25</f>
        <v>173.875</v>
      </c>
      <c r="K25" s="132">
        <f>J25</f>
        <v>173.875</v>
      </c>
      <c r="L25" s="132">
        <f t="shared" si="22"/>
        <v>695.5</v>
      </c>
      <c r="M25" s="143"/>
      <c r="N25" s="137" t="str">
        <f t="shared" si="18"/>
        <v xml:space="preserve">   аренда земли</v>
      </c>
      <c r="O25" s="132">
        <f>K25</f>
        <v>173.875</v>
      </c>
      <c r="P25" s="132">
        <f>O25</f>
        <v>173.875</v>
      </c>
      <c r="Q25" s="132">
        <f>P25</f>
        <v>173.875</v>
      </c>
      <c r="R25" s="132">
        <f>Q25</f>
        <v>173.875</v>
      </c>
      <c r="S25" s="132">
        <f t="shared" si="23"/>
        <v>695.5</v>
      </c>
      <c r="T25" s="132">
        <f>R25</f>
        <v>173.875</v>
      </c>
      <c r="U25" s="132">
        <f>T25</f>
        <v>173.875</v>
      </c>
      <c r="V25" s="132">
        <f>U25</f>
        <v>173.875</v>
      </c>
      <c r="W25" s="132">
        <f>V25</f>
        <v>173.875</v>
      </c>
      <c r="X25" s="132">
        <f t="shared" si="24"/>
        <v>695.5</v>
      </c>
      <c r="Y25" s="143"/>
      <c r="Z25" s="137" t="str">
        <f t="shared" si="19"/>
        <v xml:space="preserve">   аренда земли</v>
      </c>
      <c r="AA25" s="132">
        <f>W25</f>
        <v>173.875</v>
      </c>
      <c r="AB25" s="132">
        <f>AA25</f>
        <v>173.875</v>
      </c>
      <c r="AC25" s="132">
        <f>AB25</f>
        <v>173.875</v>
      </c>
      <c r="AD25" s="132">
        <f>AC25</f>
        <v>173.875</v>
      </c>
      <c r="AE25" s="132">
        <f t="shared" si="12"/>
        <v>695.5</v>
      </c>
      <c r="AF25" s="132">
        <f>AB25</f>
        <v>173.875</v>
      </c>
      <c r="AG25" s="132">
        <f>AF25</f>
        <v>173.875</v>
      </c>
      <c r="AH25" s="132">
        <f>AG25</f>
        <v>173.875</v>
      </c>
      <c r="AI25" s="132">
        <f>AH25</f>
        <v>173.875</v>
      </c>
      <c r="AJ25" s="132">
        <f t="shared" si="13"/>
        <v>695.5</v>
      </c>
      <c r="AK25" s="143"/>
      <c r="AL25" s="137" t="str">
        <f t="shared" si="20"/>
        <v xml:space="preserve">   аренда земли</v>
      </c>
      <c r="AM25" s="132">
        <f>AI25</f>
        <v>173.875</v>
      </c>
      <c r="AN25" s="132">
        <f>AM25</f>
        <v>173.875</v>
      </c>
      <c r="AO25" s="132">
        <f>AN25</f>
        <v>173.875</v>
      </c>
      <c r="AP25" s="132">
        <f>AO25</f>
        <v>173.875</v>
      </c>
      <c r="AQ25" s="132">
        <f t="shared" si="16"/>
        <v>695.5</v>
      </c>
      <c r="AR25" s="132">
        <f>AN25</f>
        <v>173.875</v>
      </c>
      <c r="AS25" s="132">
        <f>AR25</f>
        <v>173.875</v>
      </c>
      <c r="AT25" s="132">
        <f>AS25</f>
        <v>173.875</v>
      </c>
      <c r="AU25" s="132">
        <f>AT25</f>
        <v>173.875</v>
      </c>
      <c r="AV25" s="132">
        <f t="shared" si="17"/>
        <v>695.5</v>
      </c>
    </row>
    <row r="26" spans="1:48" ht="12.6" customHeight="1">
      <c r="A26" s="143"/>
      <c r="B26" s="137" t="s">
        <v>216</v>
      </c>
      <c r="C26" s="132">
        <v>0</v>
      </c>
      <c r="D26" s="132">
        <v>0</v>
      </c>
      <c r="E26" s="132">
        <v>0</v>
      </c>
      <c r="F26" s="132">
        <v>0</v>
      </c>
      <c r="G26" s="132">
        <f t="shared" si="21"/>
        <v>0</v>
      </c>
      <c r="H26" s="132">
        <f>SUM(H24:H25)*$C$34</f>
        <v>22.049949999999999</v>
      </c>
      <c r="I26" s="132">
        <f>SUM(I24:I25)*$C$34</f>
        <v>22.049949999999999</v>
      </c>
      <c r="J26" s="132">
        <f>SUM(J24:J25)*$C$34</f>
        <v>22.049949999999999</v>
      </c>
      <c r="K26" s="132">
        <f>SUM(K24:K25)*$C$34</f>
        <v>22.049949999999999</v>
      </c>
      <c r="L26" s="132">
        <f t="shared" si="22"/>
        <v>88.199799999999996</v>
      </c>
      <c r="M26" s="143"/>
      <c r="N26" s="137" t="str">
        <f t="shared" si="18"/>
        <v xml:space="preserve">   прочее</v>
      </c>
      <c r="O26" s="132">
        <f>SUM(O24:O25)*$C$34</f>
        <v>22.049949999999999</v>
      </c>
      <c r="P26" s="132">
        <f>SUM(P24:P25)*$C$34</f>
        <v>22.049949999999999</v>
      </c>
      <c r="Q26" s="132">
        <f>SUM(Q24:Q25)*$C$34</f>
        <v>22.049949999999999</v>
      </c>
      <c r="R26" s="132">
        <f>SUM(R24:R25)*$C$34</f>
        <v>22.049949999999999</v>
      </c>
      <c r="S26" s="132">
        <f t="shared" si="23"/>
        <v>88.199799999999996</v>
      </c>
      <c r="T26" s="132">
        <f>SUM(T24:T25)*$C$34</f>
        <v>22.049949999999999</v>
      </c>
      <c r="U26" s="132">
        <f>SUM(U24:U25)*$C$34</f>
        <v>22.049949999999999</v>
      </c>
      <c r="V26" s="132">
        <f>SUM(V24:V25)*$C$34</f>
        <v>22.049949999999999</v>
      </c>
      <c r="W26" s="132">
        <f>SUM(W24:W25)*$C$34</f>
        <v>22.049949999999999</v>
      </c>
      <c r="X26" s="132">
        <f t="shared" si="24"/>
        <v>88.199799999999996</v>
      </c>
      <c r="Y26" s="143"/>
      <c r="Z26" s="137" t="str">
        <f t="shared" si="19"/>
        <v xml:space="preserve">   прочее</v>
      </c>
      <c r="AA26" s="132">
        <f>SUM(AA24:AA25)*$C$34</f>
        <v>22.049949999999999</v>
      </c>
      <c r="AB26" s="132">
        <f>SUM(AB24:AB25)*$C$34</f>
        <v>22.049949999999999</v>
      </c>
      <c r="AC26" s="132">
        <f>SUM(AC24:AC25)*$C$34</f>
        <v>22.049949999999999</v>
      </c>
      <c r="AD26" s="132">
        <f>SUM(AD24:AD25)*$C$34</f>
        <v>22.049949999999999</v>
      </c>
      <c r="AE26" s="132">
        <f t="shared" si="12"/>
        <v>88.199799999999996</v>
      </c>
      <c r="AF26" s="132">
        <f>SUM(AF24:AF25)*$C$34</f>
        <v>22.049949999999999</v>
      </c>
      <c r="AG26" s="132">
        <f>SUM(AG24:AG25)*$C$34</f>
        <v>22.049949999999999</v>
      </c>
      <c r="AH26" s="132">
        <f>SUM(AH24:AH25)*$C$34</f>
        <v>22.049949999999999</v>
      </c>
      <c r="AI26" s="132">
        <f>SUM(AI24:AI25)*$C$34</f>
        <v>22.049949999999999</v>
      </c>
      <c r="AJ26" s="132">
        <f t="shared" si="13"/>
        <v>88.199799999999996</v>
      </c>
      <c r="AK26" s="143"/>
      <c r="AL26" s="137" t="str">
        <f t="shared" si="20"/>
        <v xml:space="preserve">   прочее</v>
      </c>
      <c r="AM26" s="132">
        <f>SUM(AM24:AM25)*$C$34</f>
        <v>22.049949999999999</v>
      </c>
      <c r="AN26" s="132">
        <f>SUM(AN24:AN25)*$C$34</f>
        <v>22.049949999999999</v>
      </c>
      <c r="AO26" s="132">
        <f>SUM(AO24:AO25)*$C$34</f>
        <v>22.049949999999999</v>
      </c>
      <c r="AP26" s="132">
        <f>SUM(AP24:AP25)*$C$34</f>
        <v>22.049949999999999</v>
      </c>
      <c r="AQ26" s="132">
        <f t="shared" si="16"/>
        <v>88.199799999999996</v>
      </c>
      <c r="AR26" s="132">
        <f>SUM(AR24:AR25)*$C$34</f>
        <v>22.049949999999999</v>
      </c>
      <c r="AS26" s="132">
        <f>SUM(AS24:AS25)*$C$34</f>
        <v>22.049949999999999</v>
      </c>
      <c r="AT26" s="132">
        <f>SUM(AT24:AT25)*$C$34</f>
        <v>22.049949999999999</v>
      </c>
      <c r="AU26" s="132">
        <f>SUM(AU24:AU25)*$C$34</f>
        <v>22.049949999999999</v>
      </c>
      <c r="AV26" s="132">
        <f t="shared" si="17"/>
        <v>88.199799999999996</v>
      </c>
    </row>
    <row r="27" spans="1:48" ht="12.6" customHeight="1">
      <c r="A27" s="140" t="s">
        <v>98</v>
      </c>
      <c r="B27" s="130" t="s">
        <v>220</v>
      </c>
      <c r="C27" s="132">
        <f>SUM(C28:C29)</f>
        <v>0</v>
      </c>
      <c r="D27" s="132">
        <f>SUM(D28:D29)</f>
        <v>0</v>
      </c>
      <c r="E27" s="132">
        <f>SUM(E28:E29)</f>
        <v>0</v>
      </c>
      <c r="F27" s="132">
        <f>SUM(F28:F29)</f>
        <v>0</v>
      </c>
      <c r="G27" s="132">
        <f t="shared" si="21"/>
        <v>0</v>
      </c>
      <c r="H27" s="132">
        <f>SUM(H28:H29)</f>
        <v>601.39440000000002</v>
      </c>
      <c r="I27" s="132">
        <f>SUM(I28:I29)</f>
        <v>601.39440000000002</v>
      </c>
      <c r="J27" s="132">
        <f>SUM(J28:J29)</f>
        <v>601.39440000000002</v>
      </c>
      <c r="K27" s="132">
        <f>SUM(K28:K29)</f>
        <v>601.39440000000002</v>
      </c>
      <c r="L27" s="132">
        <f t="shared" si="22"/>
        <v>2405.5776000000001</v>
      </c>
      <c r="M27" s="140" t="str">
        <f>A27</f>
        <v>2.3.</v>
      </c>
      <c r="N27" s="130" t="str">
        <f t="shared" si="18"/>
        <v>коммерческие расходы</v>
      </c>
      <c r="O27" s="132">
        <f>SUM(O28:O29)</f>
        <v>601.39440000000002</v>
      </c>
      <c r="P27" s="132">
        <f>SUM(P28:P29)</f>
        <v>601.39440000000002</v>
      </c>
      <c r="Q27" s="132">
        <f>SUM(Q28:Q29)</f>
        <v>601.39440000000002</v>
      </c>
      <c r="R27" s="132">
        <f>SUM(R28:R29)</f>
        <v>601.39440000000002</v>
      </c>
      <c r="S27" s="132">
        <f t="shared" si="23"/>
        <v>2405.5776000000001</v>
      </c>
      <c r="T27" s="132">
        <f>SUM(T28:T29)</f>
        <v>601.39440000000002</v>
      </c>
      <c r="U27" s="132">
        <f>SUM(U28:U29)</f>
        <v>601.39440000000002</v>
      </c>
      <c r="V27" s="132">
        <f>SUM(V28:V29)</f>
        <v>601.39440000000002</v>
      </c>
      <c r="W27" s="132">
        <f>SUM(W28:W29)</f>
        <v>601.39440000000002</v>
      </c>
      <c r="X27" s="132">
        <f t="shared" si="24"/>
        <v>2405.5776000000001</v>
      </c>
      <c r="Y27" s="140" t="str">
        <f>M27</f>
        <v>2.3.</v>
      </c>
      <c r="Z27" s="130" t="str">
        <f t="shared" si="19"/>
        <v>коммерческие расходы</v>
      </c>
      <c r="AA27" s="132">
        <f>SUM(AA28:AA29)</f>
        <v>601.39440000000002</v>
      </c>
      <c r="AB27" s="132">
        <f>SUM(AB28:AB29)</f>
        <v>601.39440000000002</v>
      </c>
      <c r="AC27" s="132">
        <f>SUM(AC28:AC29)</f>
        <v>601.39440000000002</v>
      </c>
      <c r="AD27" s="132">
        <f>SUM(AD28:AD29)</f>
        <v>601.39440000000002</v>
      </c>
      <c r="AE27" s="132">
        <f t="shared" si="12"/>
        <v>2405.5776000000001</v>
      </c>
      <c r="AF27" s="132">
        <f>SUM(AF28:AF29)</f>
        <v>601.39440000000002</v>
      </c>
      <c r="AG27" s="132">
        <f>SUM(AG28:AG29)</f>
        <v>601.39440000000002</v>
      </c>
      <c r="AH27" s="132">
        <f>SUM(AH28:AH29)</f>
        <v>601.39440000000002</v>
      </c>
      <c r="AI27" s="132">
        <f>SUM(AI28:AI29)</f>
        <v>601.39440000000002</v>
      </c>
      <c r="AJ27" s="132">
        <f t="shared" si="13"/>
        <v>2405.5776000000001</v>
      </c>
      <c r="AK27" s="140" t="str">
        <f>Y27</f>
        <v>2.3.</v>
      </c>
      <c r="AL27" s="130" t="str">
        <f t="shared" si="20"/>
        <v>коммерческие расходы</v>
      </c>
      <c r="AM27" s="132">
        <f>SUM(AM28:AM29)</f>
        <v>601.39440000000002</v>
      </c>
      <c r="AN27" s="132">
        <f>SUM(AN28:AN29)</f>
        <v>601.39440000000002</v>
      </c>
      <c r="AO27" s="132">
        <f>SUM(AO28:AO29)</f>
        <v>601.39440000000002</v>
      </c>
      <c r="AP27" s="132">
        <f>SUM(AP28:AP29)</f>
        <v>601.39440000000002</v>
      </c>
      <c r="AQ27" s="132">
        <f t="shared" si="16"/>
        <v>2405.5776000000001</v>
      </c>
      <c r="AR27" s="132">
        <f>SUM(AR28:AR29)</f>
        <v>601.39440000000002</v>
      </c>
      <c r="AS27" s="132">
        <f>SUM(AS28:AS29)</f>
        <v>601.39440000000002</v>
      </c>
      <c r="AT27" s="132">
        <f>SUM(AT28:AT29)</f>
        <v>601.39440000000002</v>
      </c>
      <c r="AU27" s="132">
        <f>SUM(AU28:AU29)</f>
        <v>601.39440000000002</v>
      </c>
      <c r="AV27" s="132">
        <f t="shared" si="17"/>
        <v>2405.5776000000001</v>
      </c>
    </row>
    <row r="28" spans="1:48" ht="12.6" customHeight="1">
      <c r="A28" s="143"/>
      <c r="B28" s="137" t="s">
        <v>221</v>
      </c>
      <c r="C28" s="132">
        <f>'Т 3'!D56*$C$35</f>
        <v>0</v>
      </c>
      <c r="D28" s="132">
        <f>'Т 3'!E56*$C$35</f>
        <v>0</v>
      </c>
      <c r="E28" s="132">
        <f>'Т 3'!F56*$C$35</f>
        <v>0</v>
      </c>
      <c r="F28" s="132">
        <f>'Т 3'!G56*$C$35</f>
        <v>0</v>
      </c>
      <c r="G28" s="132">
        <f t="shared" si="21"/>
        <v>0</v>
      </c>
      <c r="H28" s="132">
        <f>'Т 3'!I56*$C$35</f>
        <v>595.44000000000005</v>
      </c>
      <c r="I28" s="132">
        <f>'Т 3'!J56*$C$35</f>
        <v>595.44000000000005</v>
      </c>
      <c r="J28" s="132">
        <f>'Т 3'!K56*$C$35</f>
        <v>595.44000000000005</v>
      </c>
      <c r="K28" s="132">
        <f>'Т 3'!L56*$C$35</f>
        <v>595.44000000000005</v>
      </c>
      <c r="L28" s="132">
        <f t="shared" si="22"/>
        <v>2381.7600000000002</v>
      </c>
      <c r="M28" s="143"/>
      <c r="N28" s="137" t="str">
        <f t="shared" si="18"/>
        <v xml:space="preserve">   реклама</v>
      </c>
      <c r="O28" s="132">
        <f>'Т 3'!Q56*$C$35</f>
        <v>595.44000000000005</v>
      </c>
      <c r="P28" s="132">
        <f>'Т 3'!R56*$C$35</f>
        <v>595.44000000000005</v>
      </c>
      <c r="Q28" s="132">
        <f>'Т 3'!S56*$C$35</f>
        <v>595.44000000000005</v>
      </c>
      <c r="R28" s="132">
        <f>'Т 3'!T56*$C$35</f>
        <v>595.44000000000005</v>
      </c>
      <c r="S28" s="132">
        <f t="shared" si="23"/>
        <v>2381.7600000000002</v>
      </c>
      <c r="T28" s="132">
        <f>'Т 3'!V56*$C$35</f>
        <v>595.44000000000005</v>
      </c>
      <c r="U28" s="132">
        <f>'Т 3'!W56*$C$35</f>
        <v>595.44000000000005</v>
      </c>
      <c r="V28" s="132">
        <f>'Т 3'!X56*$C$35</f>
        <v>595.44000000000005</v>
      </c>
      <c r="W28" s="132">
        <f>'Т 3'!Y56*$C$35</f>
        <v>595.44000000000005</v>
      </c>
      <c r="X28" s="132">
        <f t="shared" si="24"/>
        <v>2381.7600000000002</v>
      </c>
      <c r="Y28" s="143"/>
      <c r="Z28" s="137" t="str">
        <f t="shared" si="19"/>
        <v xml:space="preserve">   реклама</v>
      </c>
      <c r="AA28" s="132">
        <f>'Т 3'!AD56*$C$35</f>
        <v>595.44000000000005</v>
      </c>
      <c r="AB28" s="132">
        <f>'Т 3'!AE56*$C$35</f>
        <v>595.44000000000005</v>
      </c>
      <c r="AC28" s="132">
        <f>'Т 3'!AF56*$C$35</f>
        <v>595.44000000000005</v>
      </c>
      <c r="AD28" s="132">
        <f>'Т 3'!AG56*$C$35</f>
        <v>595.44000000000005</v>
      </c>
      <c r="AE28" s="132">
        <f t="shared" si="12"/>
        <v>2381.7600000000002</v>
      </c>
      <c r="AF28" s="132">
        <f>'Т 3'!AI56*$C$35</f>
        <v>595.44000000000005</v>
      </c>
      <c r="AG28" s="132">
        <f>'Т 3'!AJ56*$C$35</f>
        <v>595.44000000000005</v>
      </c>
      <c r="AH28" s="132">
        <f>'Т 3'!AK56*$C$35</f>
        <v>595.44000000000005</v>
      </c>
      <c r="AI28" s="132">
        <f>'Т 3'!AL56*$C$35</f>
        <v>595.44000000000005</v>
      </c>
      <c r="AJ28" s="132">
        <f t="shared" si="13"/>
        <v>2381.7600000000002</v>
      </c>
      <c r="AK28" s="143"/>
      <c r="AL28" s="137" t="str">
        <f t="shared" si="20"/>
        <v xml:space="preserve">   реклама</v>
      </c>
      <c r="AM28" s="132">
        <f>'Т 3'!AQ56*$C$35</f>
        <v>595.44000000000005</v>
      </c>
      <c r="AN28" s="132">
        <f>'Т 3'!AR56*$C$35</f>
        <v>595.44000000000005</v>
      </c>
      <c r="AO28" s="132">
        <f>'Т 3'!AS56*$C$35</f>
        <v>595.44000000000005</v>
      </c>
      <c r="AP28" s="132">
        <f>'Т 3'!AT56*$C$35</f>
        <v>595.44000000000005</v>
      </c>
      <c r="AQ28" s="132">
        <f t="shared" si="16"/>
        <v>2381.7600000000002</v>
      </c>
      <c r="AR28" s="132">
        <f>'Т 3'!AV56*$C$35</f>
        <v>595.44000000000005</v>
      </c>
      <c r="AS28" s="132">
        <f>'Т 3'!AW56*$C$35</f>
        <v>595.44000000000005</v>
      </c>
      <c r="AT28" s="132">
        <f>'Т 3'!AX56*$C$35</f>
        <v>595.44000000000005</v>
      </c>
      <c r="AU28" s="132">
        <f>'Т 3'!AY56*$C$35</f>
        <v>595.44000000000005</v>
      </c>
      <c r="AV28" s="132">
        <f t="shared" si="17"/>
        <v>2381.7600000000002</v>
      </c>
    </row>
    <row r="29" spans="1:48" ht="12.6" customHeight="1">
      <c r="A29" s="143"/>
      <c r="B29" s="137" t="s">
        <v>216</v>
      </c>
      <c r="C29" s="132">
        <f>C28*$C$36</f>
        <v>0</v>
      </c>
      <c r="D29" s="132">
        <f>D28*$C$36</f>
        <v>0</v>
      </c>
      <c r="E29" s="132">
        <f>E28*$C$36</f>
        <v>0</v>
      </c>
      <c r="F29" s="132">
        <f>F28*$C$36</f>
        <v>0</v>
      </c>
      <c r="G29" s="132">
        <f t="shared" si="21"/>
        <v>0</v>
      </c>
      <c r="H29" s="132">
        <f>H28*$C$36</f>
        <v>5.9544000000000006</v>
      </c>
      <c r="I29" s="132">
        <f>I28*$C$36</f>
        <v>5.9544000000000006</v>
      </c>
      <c r="J29" s="132">
        <f>J28*$C$36</f>
        <v>5.9544000000000006</v>
      </c>
      <c r="K29" s="132">
        <f>K28*$C$36</f>
        <v>5.9544000000000006</v>
      </c>
      <c r="L29" s="132">
        <f t="shared" si="22"/>
        <v>23.817600000000002</v>
      </c>
      <c r="M29" s="143"/>
      <c r="N29" s="137" t="str">
        <f t="shared" si="18"/>
        <v xml:space="preserve">   прочее</v>
      </c>
      <c r="O29" s="132">
        <f>O28*$C$36</f>
        <v>5.9544000000000006</v>
      </c>
      <c r="P29" s="132">
        <f>P28*$C$36</f>
        <v>5.9544000000000006</v>
      </c>
      <c r="Q29" s="132">
        <f>Q28*$C$36</f>
        <v>5.9544000000000006</v>
      </c>
      <c r="R29" s="132">
        <f>R28*$C$36</f>
        <v>5.9544000000000006</v>
      </c>
      <c r="S29" s="132">
        <f t="shared" si="23"/>
        <v>23.817600000000002</v>
      </c>
      <c r="T29" s="132">
        <f>T28*$C$36</f>
        <v>5.9544000000000006</v>
      </c>
      <c r="U29" s="132">
        <f>U28*$C$36</f>
        <v>5.9544000000000006</v>
      </c>
      <c r="V29" s="132">
        <f>V28*$C$36</f>
        <v>5.9544000000000006</v>
      </c>
      <c r="W29" s="132">
        <f>W28*$C$36</f>
        <v>5.9544000000000006</v>
      </c>
      <c r="X29" s="132">
        <f t="shared" si="24"/>
        <v>23.817600000000002</v>
      </c>
      <c r="Y29" s="143"/>
      <c r="Z29" s="137" t="str">
        <f t="shared" si="19"/>
        <v xml:space="preserve">   прочее</v>
      </c>
      <c r="AA29" s="132">
        <f>AA28*$C$36</f>
        <v>5.9544000000000006</v>
      </c>
      <c r="AB29" s="132">
        <f>AB28*$C$36</f>
        <v>5.9544000000000006</v>
      </c>
      <c r="AC29" s="132">
        <f>AC28*$C$36</f>
        <v>5.9544000000000006</v>
      </c>
      <c r="AD29" s="132">
        <f>AD28*$C$36</f>
        <v>5.9544000000000006</v>
      </c>
      <c r="AE29" s="132">
        <f t="shared" si="12"/>
        <v>23.817600000000002</v>
      </c>
      <c r="AF29" s="132">
        <f>AF28*$C$36</f>
        <v>5.9544000000000006</v>
      </c>
      <c r="AG29" s="132">
        <f>AG28*$C$36</f>
        <v>5.9544000000000006</v>
      </c>
      <c r="AH29" s="132">
        <f>AH28*$C$36</f>
        <v>5.9544000000000006</v>
      </c>
      <c r="AI29" s="132">
        <f>AI28*$C$36</f>
        <v>5.9544000000000006</v>
      </c>
      <c r="AJ29" s="132">
        <f t="shared" si="13"/>
        <v>23.817600000000002</v>
      </c>
      <c r="AK29" s="143"/>
      <c r="AL29" s="137" t="str">
        <f t="shared" si="20"/>
        <v xml:space="preserve">   прочее</v>
      </c>
      <c r="AM29" s="132">
        <f>AM28*$C$36</f>
        <v>5.9544000000000006</v>
      </c>
      <c r="AN29" s="132">
        <f>AN28*$C$36</f>
        <v>5.9544000000000006</v>
      </c>
      <c r="AO29" s="132">
        <f>AO28*$C$36</f>
        <v>5.9544000000000006</v>
      </c>
      <c r="AP29" s="132">
        <f>AP28*$C$36</f>
        <v>5.9544000000000006</v>
      </c>
      <c r="AQ29" s="132">
        <f t="shared" si="16"/>
        <v>23.817600000000002</v>
      </c>
      <c r="AR29" s="132">
        <f>AR28*$C$36</f>
        <v>5.9544000000000006</v>
      </c>
      <c r="AS29" s="132">
        <f>AS28*$C$36</f>
        <v>5.9544000000000006</v>
      </c>
      <c r="AT29" s="132">
        <f>AT28*$C$36</f>
        <v>5.9544000000000006</v>
      </c>
      <c r="AU29" s="132">
        <f>AU28*$C$36</f>
        <v>5.9544000000000006</v>
      </c>
      <c r="AV29" s="132">
        <f t="shared" si="17"/>
        <v>23.817600000000002</v>
      </c>
    </row>
    <row r="30" spans="1:48" ht="12.6" customHeight="1">
      <c r="A30" s="179" t="s">
        <v>70</v>
      </c>
      <c r="B30" s="130" t="s">
        <v>222</v>
      </c>
      <c r="C30" s="132">
        <f>C6+C17</f>
        <v>173.875</v>
      </c>
      <c r="D30" s="132">
        <f>D6+D17</f>
        <v>173.875</v>
      </c>
      <c r="E30" s="132">
        <f>E6+E17</f>
        <v>173.875</v>
      </c>
      <c r="F30" s="132">
        <f>F6+F17</f>
        <v>173.875</v>
      </c>
      <c r="G30" s="141">
        <f t="shared" si="21"/>
        <v>695.5</v>
      </c>
      <c r="H30" s="132">
        <f>H6+H17</f>
        <v>34858.298753954805</v>
      </c>
      <c r="I30" s="132">
        <f>I6+I17</f>
        <v>34858.298753954805</v>
      </c>
      <c r="J30" s="132">
        <f>J6+J17</f>
        <v>34858.298753954805</v>
      </c>
      <c r="K30" s="132">
        <f>K6+K17</f>
        <v>34858.298753954805</v>
      </c>
      <c r="L30" s="141">
        <f t="shared" si="22"/>
        <v>139433.19501581922</v>
      </c>
      <c r="M30" s="179" t="str">
        <f>A30</f>
        <v>3.</v>
      </c>
      <c r="N30" s="130" t="str">
        <f t="shared" si="18"/>
        <v>Общие затраты</v>
      </c>
      <c r="O30" s="132">
        <f>O6+O17</f>
        <v>34858.298753954805</v>
      </c>
      <c r="P30" s="132">
        <f>P6+P17</f>
        <v>34858.298753954805</v>
      </c>
      <c r="Q30" s="132">
        <f>Q6+Q17</f>
        <v>34858.298753954805</v>
      </c>
      <c r="R30" s="132">
        <f>R6+R17</f>
        <v>34858.298753954805</v>
      </c>
      <c r="S30" s="141">
        <f t="shared" si="23"/>
        <v>139433.19501581922</v>
      </c>
      <c r="T30" s="132">
        <f>T6+T17</f>
        <v>34858.298753954805</v>
      </c>
      <c r="U30" s="132">
        <f>U6+U17</f>
        <v>34858.298753954805</v>
      </c>
      <c r="V30" s="132">
        <f>V6+V17</f>
        <v>34858.298753954805</v>
      </c>
      <c r="W30" s="132">
        <f>W6+W17</f>
        <v>34858.298753954805</v>
      </c>
      <c r="X30" s="141">
        <f t="shared" si="24"/>
        <v>139433.19501581922</v>
      </c>
      <c r="Y30" s="179" t="str">
        <f>M30</f>
        <v>3.</v>
      </c>
      <c r="Z30" s="130" t="str">
        <f t="shared" si="19"/>
        <v>Общие затраты</v>
      </c>
      <c r="AA30" s="132">
        <f>AA6+AA17</f>
        <v>34858.298753954805</v>
      </c>
      <c r="AB30" s="132">
        <f>AB6+AB17</f>
        <v>34858.298753954805</v>
      </c>
      <c r="AC30" s="132">
        <f>AC6+AC17</f>
        <v>34858.298753954805</v>
      </c>
      <c r="AD30" s="132">
        <f>AD6+AD17</f>
        <v>34858.298753954805</v>
      </c>
      <c r="AE30" s="141">
        <f t="shared" si="12"/>
        <v>139433.19501581922</v>
      </c>
      <c r="AF30" s="132">
        <f>AF6+AF17</f>
        <v>34858.298753954805</v>
      </c>
      <c r="AG30" s="132">
        <f>AG6+AG17</f>
        <v>34858.298753954805</v>
      </c>
      <c r="AH30" s="132">
        <f>AH6+AH17</f>
        <v>34858.298753954805</v>
      </c>
      <c r="AI30" s="132">
        <f>AI6+AI17</f>
        <v>34858.298753954805</v>
      </c>
      <c r="AJ30" s="141">
        <f t="shared" si="13"/>
        <v>139433.19501581922</v>
      </c>
      <c r="AK30" s="179" t="str">
        <f>Y30</f>
        <v>3.</v>
      </c>
      <c r="AL30" s="130" t="str">
        <f t="shared" si="20"/>
        <v>Общие затраты</v>
      </c>
      <c r="AM30" s="132">
        <f>AM6+AM17</f>
        <v>34858.298753954805</v>
      </c>
      <c r="AN30" s="132">
        <f>AN6+AN17</f>
        <v>34858.298753954805</v>
      </c>
      <c r="AO30" s="132">
        <f>AO6+AO17</f>
        <v>34858.298753954805</v>
      </c>
      <c r="AP30" s="132">
        <f>AP6+AP17</f>
        <v>34858.298753954805</v>
      </c>
      <c r="AQ30" s="141">
        <f t="shared" si="16"/>
        <v>139433.19501581922</v>
      </c>
      <c r="AR30" s="132">
        <f>AR6+AR17</f>
        <v>34858.298753954805</v>
      </c>
      <c r="AS30" s="132">
        <f>AS6+AS17</f>
        <v>34858.298753954805</v>
      </c>
      <c r="AT30" s="132">
        <f>AT6+AT17</f>
        <v>34858.298753954805</v>
      </c>
      <c r="AU30" s="132">
        <f>AU6+AU17</f>
        <v>34858.298753954805</v>
      </c>
      <c r="AV30" s="141">
        <f t="shared" si="17"/>
        <v>139433.19501581922</v>
      </c>
    </row>
    <row r="31" spans="1:48" ht="13.65" customHeight="1">
      <c r="A31" s="180" t="s">
        <v>72</v>
      </c>
      <c r="B31" s="181" t="s">
        <v>223</v>
      </c>
      <c r="C31" s="80">
        <f t="shared" ref="C31:L31" si="25">(C6+C19+C22+C26+C27)-(C6+C19+C22+C26+C27)/1.18</f>
        <v>0</v>
      </c>
      <c r="D31" s="80">
        <f t="shared" si="25"/>
        <v>0</v>
      </c>
      <c r="E31" s="80">
        <f t="shared" si="25"/>
        <v>0</v>
      </c>
      <c r="F31" s="80">
        <f t="shared" si="25"/>
        <v>0</v>
      </c>
      <c r="G31" s="82">
        <f t="shared" si="25"/>
        <v>0</v>
      </c>
      <c r="H31" s="80">
        <f t="shared" si="25"/>
        <v>3986.4030288279209</v>
      </c>
      <c r="I31" s="80">
        <f t="shared" si="25"/>
        <v>3986.4030288279209</v>
      </c>
      <c r="J31" s="80">
        <f t="shared" si="25"/>
        <v>3986.4030288279209</v>
      </c>
      <c r="K31" s="80">
        <f t="shared" si="25"/>
        <v>3986.4030288279209</v>
      </c>
      <c r="L31" s="82">
        <f t="shared" si="25"/>
        <v>15945.612115311684</v>
      </c>
      <c r="M31" s="150" t="str">
        <f>A31</f>
        <v>4.</v>
      </c>
      <c r="N31" s="12" t="str">
        <f t="shared" si="18"/>
        <v>НДС (уплаченный)</v>
      </c>
      <c r="O31" s="80">
        <f t="shared" ref="O31:X31" si="26">(O6+O19+O22+O26+O27)-(O6+O19+O22+O26+O27)/1.18</f>
        <v>3986.4030288279209</v>
      </c>
      <c r="P31" s="80">
        <f t="shared" si="26"/>
        <v>3986.4030288279209</v>
      </c>
      <c r="Q31" s="80">
        <f t="shared" si="26"/>
        <v>3986.4030288279209</v>
      </c>
      <c r="R31" s="80">
        <f t="shared" si="26"/>
        <v>3986.4030288279209</v>
      </c>
      <c r="S31" s="82">
        <f t="shared" si="26"/>
        <v>15945.612115311684</v>
      </c>
      <c r="T31" s="80">
        <f t="shared" si="26"/>
        <v>3986.4030288279209</v>
      </c>
      <c r="U31" s="80">
        <f t="shared" si="26"/>
        <v>3986.4030288279209</v>
      </c>
      <c r="V31" s="80">
        <f t="shared" si="26"/>
        <v>3986.4030288279209</v>
      </c>
      <c r="W31" s="80">
        <f t="shared" si="26"/>
        <v>3986.4030288279209</v>
      </c>
      <c r="X31" s="82">
        <f t="shared" si="26"/>
        <v>15945.612115311684</v>
      </c>
      <c r="Y31" s="150" t="str">
        <f>M31</f>
        <v>4.</v>
      </c>
      <c r="Z31" s="12" t="str">
        <f t="shared" si="19"/>
        <v>НДС (уплаченный)</v>
      </c>
      <c r="AA31" s="80">
        <f t="shared" ref="AA31:AJ31" si="27">(AA6+AA19+AA22+AA26+AA27)-(AA6+AA19+AA22+AA26+AA27)/1.18</f>
        <v>3986.4030288279209</v>
      </c>
      <c r="AB31" s="80">
        <f t="shared" si="27"/>
        <v>3986.4030288279209</v>
      </c>
      <c r="AC31" s="80">
        <f t="shared" si="27"/>
        <v>3986.4030288279209</v>
      </c>
      <c r="AD31" s="80">
        <f t="shared" si="27"/>
        <v>3986.4030288279209</v>
      </c>
      <c r="AE31" s="82">
        <f t="shared" si="27"/>
        <v>15945.612115311684</v>
      </c>
      <c r="AF31" s="80">
        <f t="shared" si="27"/>
        <v>3986.4030288279209</v>
      </c>
      <c r="AG31" s="80">
        <f t="shared" si="27"/>
        <v>3986.4030288279209</v>
      </c>
      <c r="AH31" s="80">
        <f t="shared" si="27"/>
        <v>3986.4030288279209</v>
      </c>
      <c r="AI31" s="80">
        <f t="shared" si="27"/>
        <v>3986.4030288279209</v>
      </c>
      <c r="AJ31" s="82">
        <f t="shared" si="27"/>
        <v>15945.612115311684</v>
      </c>
      <c r="AK31" s="182" t="str">
        <f>Y31</f>
        <v>4.</v>
      </c>
      <c r="AL31" s="12" t="str">
        <f t="shared" si="20"/>
        <v>НДС (уплаченный)</v>
      </c>
      <c r="AM31" s="80">
        <f t="shared" ref="AM31:AV31" si="28">(AM6+AM19+AM22+AM26+AM27)-(AM6+AM19+AM22+AM26+AM27)/1.18</f>
        <v>3986.4030288279209</v>
      </c>
      <c r="AN31" s="80">
        <f t="shared" si="28"/>
        <v>3986.4030288279209</v>
      </c>
      <c r="AO31" s="80">
        <f t="shared" si="28"/>
        <v>3986.4030288279209</v>
      </c>
      <c r="AP31" s="80">
        <f t="shared" si="28"/>
        <v>3986.4030288279209</v>
      </c>
      <c r="AQ31" s="82">
        <f t="shared" si="28"/>
        <v>15945.612115311684</v>
      </c>
      <c r="AR31" s="80">
        <f t="shared" si="28"/>
        <v>3986.4030288279209</v>
      </c>
      <c r="AS31" s="80">
        <f t="shared" si="28"/>
        <v>3986.4030288279209</v>
      </c>
      <c r="AT31" s="80">
        <f t="shared" si="28"/>
        <v>3986.4030288279209</v>
      </c>
      <c r="AU31" s="80">
        <f t="shared" si="28"/>
        <v>3986.4030288279209</v>
      </c>
      <c r="AV31" s="82">
        <f t="shared" si="28"/>
        <v>15945.612115311684</v>
      </c>
    </row>
    <row r="32" spans="1:48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5">
        <v>1</v>
      </c>
      <c r="M32" s="2"/>
      <c r="N32" s="18"/>
      <c r="O32" s="18"/>
      <c r="P32" s="18"/>
      <c r="Q32" s="18"/>
      <c r="R32" s="18"/>
      <c r="S32" s="35">
        <v>2</v>
      </c>
      <c r="T32" s="18"/>
      <c r="U32" s="18"/>
      <c r="V32" s="18"/>
      <c r="W32" s="18"/>
      <c r="X32" s="35">
        <v>3</v>
      </c>
      <c r="Y32" s="2"/>
      <c r="Z32" s="18"/>
      <c r="AA32" s="18"/>
      <c r="AB32" s="18"/>
      <c r="AC32" s="18"/>
      <c r="AD32" s="18"/>
      <c r="AE32" s="35">
        <v>4</v>
      </c>
      <c r="AF32" s="18"/>
      <c r="AG32" s="18"/>
      <c r="AH32" s="18"/>
      <c r="AI32" s="18"/>
      <c r="AJ32" s="35">
        <v>5</v>
      </c>
      <c r="AK32" s="18"/>
      <c r="AL32" s="18"/>
      <c r="AM32" s="18"/>
      <c r="AN32" s="18"/>
      <c r="AO32" s="18"/>
      <c r="AP32" s="18"/>
      <c r="AQ32" s="35">
        <v>6</v>
      </c>
      <c r="AR32" s="18"/>
      <c r="AS32" s="18"/>
      <c r="AT32" s="18"/>
      <c r="AU32" s="18"/>
      <c r="AV32" s="35">
        <v>7</v>
      </c>
    </row>
    <row r="33" spans="1:48" ht="15" customHeight="1">
      <c r="A33" s="2"/>
      <c r="B33" s="245" t="s">
        <v>224</v>
      </c>
      <c r="C33" s="246">
        <v>0.01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5" customHeight="1">
      <c r="A34" s="2"/>
      <c r="B34" s="245" t="s">
        <v>225</v>
      </c>
      <c r="C34" s="246">
        <v>0.01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46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5" customHeight="1">
      <c r="A35" s="2"/>
      <c r="B35" s="245" t="s">
        <v>226</v>
      </c>
      <c r="C35" s="246">
        <v>0.01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46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5" customHeight="1">
      <c r="A36" s="2"/>
      <c r="B36" s="245" t="s">
        <v>227</v>
      </c>
      <c r="C36" s="246">
        <v>0.01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5" customHeight="1">
      <c r="A37" s="2"/>
      <c r="B37" s="245" t="s">
        <v>228</v>
      </c>
      <c r="C37" s="246">
        <v>0.01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</sheetData>
  <mergeCells count="24">
    <mergeCell ref="O3:S3"/>
    <mergeCell ref="Y3:Y4"/>
    <mergeCell ref="Z3:Z4"/>
    <mergeCell ref="AA3:AE3"/>
    <mergeCell ref="AF3:AJ3"/>
    <mergeCell ref="T3:X3"/>
    <mergeCell ref="A1:L1"/>
    <mergeCell ref="A2:L2"/>
    <mergeCell ref="M1:X1"/>
    <mergeCell ref="M2:X2"/>
    <mergeCell ref="Y1:AJ1"/>
    <mergeCell ref="Y2:AJ2"/>
    <mergeCell ref="N3:N4"/>
    <mergeCell ref="A3:A4"/>
    <mergeCell ref="M3:M4"/>
    <mergeCell ref="B3:B4"/>
    <mergeCell ref="C3:G3"/>
    <mergeCell ref="H3:L3"/>
    <mergeCell ref="AK1:AV1"/>
    <mergeCell ref="AK2:AV2"/>
    <mergeCell ref="AK3:AK4"/>
    <mergeCell ref="AL3:AL4"/>
    <mergeCell ref="AR3:AV3"/>
    <mergeCell ref="AM3:AQ3"/>
  </mergeCells>
  <pageMargins left="0.78740200000000005" right="0.78740200000000005" top="1.1811" bottom="0.59055100000000005" header="0.51181100000000002" footer="0.51181100000000002"/>
  <pageSetup orientation="landscape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>
      <selection activeCell="E10" sqref="E10"/>
    </sheetView>
  </sheetViews>
  <sheetFormatPr defaultColWidth="9" defaultRowHeight="13.2" customHeight="1"/>
  <cols>
    <col min="1" max="1" width="9" style="184" customWidth="1"/>
    <col min="2" max="2" width="4.5546875" style="184" customWidth="1"/>
    <col min="3" max="3" width="29.88671875" style="184" customWidth="1"/>
    <col min="4" max="4" width="10.44140625" style="184" customWidth="1"/>
    <col min="5" max="5" width="13.5546875" style="184" customWidth="1"/>
    <col min="6" max="256" width="9" style="184" customWidth="1"/>
  </cols>
  <sheetData>
    <row r="1" spans="1:5" ht="15" customHeight="1">
      <c r="A1" s="97"/>
      <c r="B1" s="28"/>
      <c r="C1" s="28"/>
      <c r="D1" s="28"/>
      <c r="E1" s="28"/>
    </row>
    <row r="2" spans="1:5" ht="15" customHeight="1">
      <c r="A2" s="185"/>
      <c r="B2" s="293" t="s">
        <v>53</v>
      </c>
      <c r="C2" s="293" t="s">
        <v>204</v>
      </c>
      <c r="D2" s="334" t="s">
        <v>229</v>
      </c>
      <c r="E2" s="334" t="s">
        <v>230</v>
      </c>
    </row>
    <row r="3" spans="1:5" ht="15" customHeight="1">
      <c r="A3" s="185"/>
      <c r="B3" s="294"/>
      <c r="C3" s="294"/>
      <c r="D3" s="304"/>
      <c r="E3" s="304"/>
    </row>
    <row r="4" spans="1:5" ht="35.700000000000003" customHeight="1">
      <c r="A4" s="185"/>
      <c r="B4" s="186" t="s">
        <v>63</v>
      </c>
      <c r="C4" s="79" t="s">
        <v>231</v>
      </c>
      <c r="D4" s="156">
        <f>SUM(D5:D9)</f>
        <v>37765.211603446325</v>
      </c>
      <c r="E4" s="187">
        <f>SUM(E5:E9)</f>
        <v>12588.403867815443</v>
      </c>
    </row>
    <row r="5" spans="1:5" ht="35.700000000000003" customHeight="1">
      <c r="A5" s="185"/>
      <c r="B5" s="85" t="s">
        <v>86</v>
      </c>
      <c r="C5" s="79" t="s">
        <v>232</v>
      </c>
      <c r="D5" s="156">
        <f>'Т 6'!H6-'Т 4'!H13</f>
        <v>22866.480000000003</v>
      </c>
      <c r="E5" s="187">
        <f>D5/3</f>
        <v>7622.1600000000008</v>
      </c>
    </row>
    <row r="6" spans="1:5" ht="15" customHeight="1">
      <c r="A6" s="185"/>
      <c r="B6" s="85" t="s">
        <v>88</v>
      </c>
      <c r="C6" s="79" t="s">
        <v>233</v>
      </c>
      <c r="D6" s="156">
        <f>'Т 4'!H10</f>
        <v>6952.68</v>
      </c>
      <c r="E6" s="187">
        <f>D6/3</f>
        <v>2317.56</v>
      </c>
    </row>
    <row r="7" spans="1:5" ht="24.6" customHeight="1">
      <c r="A7" s="185"/>
      <c r="B7" s="85" t="s">
        <v>90</v>
      </c>
      <c r="C7" s="79" t="s">
        <v>234</v>
      </c>
      <c r="D7" s="156">
        <f>'Т 9'!O12</f>
        <v>0</v>
      </c>
      <c r="E7" s="187">
        <f>D7/3</f>
        <v>0</v>
      </c>
    </row>
    <row r="8" spans="1:5" ht="15" customHeight="1">
      <c r="A8" s="185"/>
      <c r="B8" s="85" t="s">
        <v>92</v>
      </c>
      <c r="C8" s="79" t="s">
        <v>235</v>
      </c>
      <c r="D8" s="156">
        <f>'Т 8'!H17</f>
        <v>7852.8450811299426</v>
      </c>
      <c r="E8" s="187">
        <f>D8/3</f>
        <v>2617.6150270433141</v>
      </c>
    </row>
    <row r="9" spans="1:5" ht="15" customHeight="1">
      <c r="A9" s="185"/>
      <c r="B9" s="85" t="s">
        <v>167</v>
      </c>
      <c r="C9" s="79" t="s">
        <v>236</v>
      </c>
      <c r="D9" s="156">
        <f>'Т 6'!O22+'Т 6'!O26+'Т 6'!O29</f>
        <v>93.206522316384195</v>
      </c>
      <c r="E9" s="187">
        <f>D9/3</f>
        <v>31.068840772128066</v>
      </c>
    </row>
    <row r="10" spans="1:5" ht="15" customHeight="1">
      <c r="A10" s="185"/>
      <c r="B10" s="86"/>
      <c r="C10" s="79" t="s">
        <v>237</v>
      </c>
      <c r="D10" s="82">
        <f>D4/3</f>
        <v>12588.403867815441</v>
      </c>
      <c r="E10" s="82">
        <f>SUM(E5:E9)</f>
        <v>12588.403867815443</v>
      </c>
    </row>
  </sheetData>
  <mergeCells count="4">
    <mergeCell ref="B2:B3"/>
    <mergeCell ref="C2:C3"/>
    <mergeCell ref="D2:D3"/>
    <mergeCell ref="E2:E3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5"/>
  <sheetViews>
    <sheetView showGridLines="0" topLeftCell="AI1" workbookViewId="0">
      <selection activeCell="AN2" sqref="AN2:AZ16"/>
    </sheetView>
  </sheetViews>
  <sheetFormatPr defaultColWidth="9.109375" defaultRowHeight="11.4" customHeight="1"/>
  <cols>
    <col min="1" max="1" width="4.5546875" style="188" customWidth="1"/>
    <col min="2" max="2" width="29.88671875" style="188" customWidth="1"/>
    <col min="3" max="13" width="9.109375" style="188" customWidth="1"/>
    <col min="14" max="14" width="4.5546875" style="188" customWidth="1"/>
    <col min="15" max="15" width="29.88671875" style="188" customWidth="1"/>
    <col min="16" max="21" width="9.109375" style="188" customWidth="1"/>
    <col min="22" max="26" width="9.5546875" style="188" customWidth="1"/>
    <col min="27" max="27" width="4.44140625" style="188" customWidth="1"/>
    <col min="28" max="28" width="29.88671875" style="188" customWidth="1"/>
    <col min="29" max="29" width="9.109375" style="188" customWidth="1"/>
    <col min="30" max="39" width="9.5546875" style="188" customWidth="1"/>
    <col min="40" max="40" width="4.5546875" style="188" customWidth="1"/>
    <col min="41" max="41" width="26.5546875" style="188" customWidth="1"/>
    <col min="42" max="42" width="9.109375" style="188" customWidth="1"/>
    <col min="43" max="52" width="9.5546875" style="188" customWidth="1"/>
    <col min="53" max="256" width="9.109375" style="188" customWidth="1"/>
  </cols>
  <sheetData>
    <row r="1" spans="1:52" ht="12.6" customHeight="1">
      <c r="A1" s="324" t="s">
        <v>238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24" t="s">
        <v>239</v>
      </c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24" t="s">
        <v>240</v>
      </c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24" t="s">
        <v>240</v>
      </c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</row>
    <row r="2" spans="1:52" ht="12.6" customHeight="1">
      <c r="A2" s="326" t="s">
        <v>241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</row>
    <row r="3" spans="1:52" ht="12.75" customHeight="1">
      <c r="A3" s="316" t="s">
        <v>53</v>
      </c>
      <c r="B3" s="316" t="s">
        <v>104</v>
      </c>
      <c r="C3" s="316" t="s">
        <v>242</v>
      </c>
      <c r="D3" s="318" t="str">
        <f>'Исходные данные'!$B$26+H18&amp;" год"</f>
        <v>2021 год</v>
      </c>
      <c r="E3" s="319"/>
      <c r="F3" s="319"/>
      <c r="G3" s="319"/>
      <c r="H3" s="320"/>
      <c r="I3" s="318" t="str">
        <f>'Исходные данные'!$B$26+M18&amp;" год"</f>
        <v>2022 год</v>
      </c>
      <c r="J3" s="319"/>
      <c r="K3" s="319"/>
      <c r="L3" s="319"/>
      <c r="M3" s="320"/>
      <c r="N3" s="316" t="s">
        <v>53</v>
      </c>
      <c r="O3" s="316" t="s">
        <v>104</v>
      </c>
      <c r="P3" s="316" t="s">
        <v>242</v>
      </c>
      <c r="Q3" s="318" t="str">
        <f>'Исходные данные'!$B$26+U18&amp;" год"</f>
        <v>2023 год</v>
      </c>
      <c r="R3" s="319"/>
      <c r="S3" s="319"/>
      <c r="T3" s="319"/>
      <c r="U3" s="320"/>
      <c r="V3" s="318" t="str">
        <f>'Исходные данные'!$B$26+Z18&amp;" год"</f>
        <v>2024 год</v>
      </c>
      <c r="W3" s="319"/>
      <c r="X3" s="319"/>
      <c r="Y3" s="319"/>
      <c r="Z3" s="320"/>
      <c r="AA3" s="316" t="s">
        <v>53</v>
      </c>
      <c r="AB3" s="316" t="s">
        <v>104</v>
      </c>
      <c r="AC3" s="316" t="s">
        <v>242</v>
      </c>
      <c r="AD3" s="318" t="str">
        <f>'Исходные данные'!$B$26+AH18&amp;" год"</f>
        <v>2025 год</v>
      </c>
      <c r="AE3" s="319"/>
      <c r="AF3" s="319"/>
      <c r="AG3" s="319"/>
      <c r="AH3" s="320"/>
      <c r="AI3" s="318" t="str">
        <f>'Исходные данные'!$B$26+AM18&amp;" год"</f>
        <v>2026 год</v>
      </c>
      <c r="AJ3" s="319"/>
      <c r="AK3" s="319"/>
      <c r="AL3" s="319"/>
      <c r="AM3" s="320"/>
      <c r="AN3" s="316" t="s">
        <v>53</v>
      </c>
      <c r="AO3" s="316" t="s">
        <v>104</v>
      </c>
      <c r="AP3" s="316" t="s">
        <v>242</v>
      </c>
      <c r="AQ3" s="318" t="str">
        <f>'Исходные данные'!$B$26+AU18&amp;" год"</f>
        <v>2027 год</v>
      </c>
      <c r="AR3" s="319"/>
      <c r="AS3" s="319"/>
      <c r="AT3" s="319"/>
      <c r="AU3" s="320"/>
      <c r="AV3" s="318" t="str">
        <f>'Исходные данные'!$B$26+AZ18&amp;" год"</f>
        <v>2028 год</v>
      </c>
      <c r="AW3" s="319"/>
      <c r="AX3" s="319"/>
      <c r="AY3" s="319"/>
      <c r="AZ3" s="320"/>
    </row>
    <row r="4" spans="1:52" ht="24.75" customHeight="1">
      <c r="A4" s="317"/>
      <c r="B4" s="317"/>
      <c r="C4" s="317"/>
      <c r="D4" s="127" t="s">
        <v>58</v>
      </c>
      <c r="E4" s="127" t="s">
        <v>59</v>
      </c>
      <c r="F4" s="127" t="s">
        <v>60</v>
      </c>
      <c r="G4" s="127" t="s">
        <v>61</v>
      </c>
      <c r="H4" s="127" t="s">
        <v>62</v>
      </c>
      <c r="I4" s="127" t="s">
        <v>58</v>
      </c>
      <c r="J4" s="127" t="s">
        <v>59</v>
      </c>
      <c r="K4" s="127" t="s">
        <v>60</v>
      </c>
      <c r="L4" s="127" t="s">
        <v>61</v>
      </c>
      <c r="M4" s="127" t="s">
        <v>62</v>
      </c>
      <c r="N4" s="317"/>
      <c r="O4" s="317"/>
      <c r="P4" s="317"/>
      <c r="Q4" s="127" t="s">
        <v>58</v>
      </c>
      <c r="R4" s="127" t="s">
        <v>59</v>
      </c>
      <c r="S4" s="127" t="s">
        <v>60</v>
      </c>
      <c r="T4" s="127" t="s">
        <v>61</v>
      </c>
      <c r="U4" s="127" t="s">
        <v>62</v>
      </c>
      <c r="V4" s="127" t="s">
        <v>58</v>
      </c>
      <c r="W4" s="127" t="s">
        <v>59</v>
      </c>
      <c r="X4" s="127" t="s">
        <v>60</v>
      </c>
      <c r="Y4" s="127" t="s">
        <v>61</v>
      </c>
      <c r="Z4" s="127" t="s">
        <v>62</v>
      </c>
      <c r="AA4" s="317"/>
      <c r="AB4" s="317"/>
      <c r="AC4" s="317"/>
      <c r="AD4" s="127" t="s">
        <v>58</v>
      </c>
      <c r="AE4" s="127" t="s">
        <v>59</v>
      </c>
      <c r="AF4" s="127" t="s">
        <v>60</v>
      </c>
      <c r="AG4" s="127" t="s">
        <v>61</v>
      </c>
      <c r="AH4" s="127" t="s">
        <v>62</v>
      </c>
      <c r="AI4" s="127" t="s">
        <v>58</v>
      </c>
      <c r="AJ4" s="127" t="s">
        <v>59</v>
      </c>
      <c r="AK4" s="127" t="s">
        <v>60</v>
      </c>
      <c r="AL4" s="127" t="s">
        <v>61</v>
      </c>
      <c r="AM4" s="127" t="s">
        <v>62</v>
      </c>
      <c r="AN4" s="317"/>
      <c r="AO4" s="317"/>
      <c r="AP4" s="317"/>
      <c r="AQ4" s="127" t="s">
        <v>58</v>
      </c>
      <c r="AR4" s="127" t="s">
        <v>59</v>
      </c>
      <c r="AS4" s="127" t="s">
        <v>60</v>
      </c>
      <c r="AT4" s="127" t="s">
        <v>61</v>
      </c>
      <c r="AU4" s="127" t="s">
        <v>62</v>
      </c>
      <c r="AV4" s="127" t="s">
        <v>58</v>
      </c>
      <c r="AW4" s="127" t="s">
        <v>59</v>
      </c>
      <c r="AX4" s="127" t="s">
        <v>60</v>
      </c>
      <c r="AY4" s="127" t="s">
        <v>61</v>
      </c>
      <c r="AZ4" s="127" t="s">
        <v>62</v>
      </c>
    </row>
    <row r="5" spans="1:52" ht="12.6" customHeight="1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  <c r="M5" s="128">
        <v>13</v>
      </c>
      <c r="N5" s="128">
        <v>1</v>
      </c>
      <c r="O5" s="128">
        <v>2</v>
      </c>
      <c r="P5" s="128">
        <v>3</v>
      </c>
      <c r="Q5" s="128">
        <f>M5+1</f>
        <v>14</v>
      </c>
      <c r="R5" s="128">
        <f t="shared" ref="R5:Z5" si="0">Q5+1</f>
        <v>15</v>
      </c>
      <c r="S5" s="128">
        <f t="shared" si="0"/>
        <v>16</v>
      </c>
      <c r="T5" s="128">
        <f t="shared" si="0"/>
        <v>17</v>
      </c>
      <c r="U5" s="128">
        <f t="shared" si="0"/>
        <v>18</v>
      </c>
      <c r="V5" s="128">
        <f t="shared" si="0"/>
        <v>19</v>
      </c>
      <c r="W5" s="128">
        <f t="shared" si="0"/>
        <v>20</v>
      </c>
      <c r="X5" s="128">
        <f t="shared" si="0"/>
        <v>21</v>
      </c>
      <c r="Y5" s="128">
        <f t="shared" si="0"/>
        <v>22</v>
      </c>
      <c r="Z5" s="128">
        <f t="shared" si="0"/>
        <v>23</v>
      </c>
      <c r="AA5" s="128">
        <f>N5</f>
        <v>1</v>
      </c>
      <c r="AB5" s="128">
        <f>O5</f>
        <v>2</v>
      </c>
      <c r="AC5" s="128">
        <f>P5</f>
        <v>3</v>
      </c>
      <c r="AD5" s="128">
        <f>Z5+1</f>
        <v>24</v>
      </c>
      <c r="AE5" s="128">
        <f t="shared" ref="AE5:AM5" si="1">AD5+1</f>
        <v>25</v>
      </c>
      <c r="AF5" s="128">
        <f t="shared" si="1"/>
        <v>26</v>
      </c>
      <c r="AG5" s="128">
        <f t="shared" si="1"/>
        <v>27</v>
      </c>
      <c r="AH5" s="128">
        <f t="shared" si="1"/>
        <v>28</v>
      </c>
      <c r="AI5" s="128">
        <f t="shared" si="1"/>
        <v>29</v>
      </c>
      <c r="AJ5" s="128">
        <f t="shared" si="1"/>
        <v>30</v>
      </c>
      <c r="AK5" s="128">
        <f t="shared" si="1"/>
        <v>31</v>
      </c>
      <c r="AL5" s="128">
        <f t="shared" si="1"/>
        <v>32</v>
      </c>
      <c r="AM5" s="128">
        <f t="shared" si="1"/>
        <v>33</v>
      </c>
      <c r="AN5" s="128">
        <f>AA5</f>
        <v>1</v>
      </c>
      <c r="AO5" s="128">
        <f>AB5</f>
        <v>2</v>
      </c>
      <c r="AP5" s="128">
        <f>AC5</f>
        <v>3</v>
      </c>
      <c r="AQ5" s="128">
        <f>AM5+1</f>
        <v>34</v>
      </c>
      <c r="AR5" s="128">
        <f t="shared" ref="AR5:AZ5" si="2">AQ5+1</f>
        <v>35</v>
      </c>
      <c r="AS5" s="128">
        <f t="shared" si="2"/>
        <v>36</v>
      </c>
      <c r="AT5" s="128">
        <f t="shared" si="2"/>
        <v>37</v>
      </c>
      <c r="AU5" s="128">
        <f t="shared" si="2"/>
        <v>38</v>
      </c>
      <c r="AV5" s="128">
        <f t="shared" si="2"/>
        <v>39</v>
      </c>
      <c r="AW5" s="128">
        <f t="shared" si="2"/>
        <v>40</v>
      </c>
      <c r="AX5" s="128">
        <f t="shared" si="2"/>
        <v>41</v>
      </c>
      <c r="AY5" s="128">
        <f t="shared" si="2"/>
        <v>42</v>
      </c>
      <c r="AZ5" s="128">
        <f t="shared" si="2"/>
        <v>43</v>
      </c>
    </row>
    <row r="6" spans="1:52" ht="22.65" customHeight="1">
      <c r="A6" s="337" t="s">
        <v>63</v>
      </c>
      <c r="B6" s="130" t="s">
        <v>243</v>
      </c>
      <c r="C6" s="139"/>
      <c r="D6" s="139">
        <f t="shared" ref="D6:M6" si="3">D7+D8+D9+D10</f>
        <v>0</v>
      </c>
      <c r="E6" s="139">
        <f t="shared" si="3"/>
        <v>0</v>
      </c>
      <c r="F6" s="139">
        <f t="shared" si="3"/>
        <v>0</v>
      </c>
      <c r="G6" s="139">
        <f t="shared" si="3"/>
        <v>0</v>
      </c>
      <c r="H6" s="189">
        <f t="shared" si="3"/>
        <v>0</v>
      </c>
      <c r="I6" s="139">
        <f t="shared" si="3"/>
        <v>273139.40677966102</v>
      </c>
      <c r="J6" s="139">
        <f t="shared" si="3"/>
        <v>273139.40677966102</v>
      </c>
      <c r="K6" s="139">
        <f t="shared" si="3"/>
        <v>273139.40677966102</v>
      </c>
      <c r="L6" s="139">
        <f t="shared" si="3"/>
        <v>273139.40677966102</v>
      </c>
      <c r="M6" s="189">
        <f t="shared" si="3"/>
        <v>273139.40677966102</v>
      </c>
      <c r="N6" s="337" t="s">
        <v>63</v>
      </c>
      <c r="O6" s="130" t="str">
        <f t="shared" ref="O6:O16" si="4">B6</f>
        <v>Основные фонды и нематериальные активы, в т.ч.:</v>
      </c>
      <c r="P6" s="139"/>
      <c r="Q6" s="139">
        <f t="shared" ref="Q6:Z6" si="5">Q7+Q8+Q9+Q10</f>
        <v>273139.40677966102</v>
      </c>
      <c r="R6" s="139">
        <f t="shared" si="5"/>
        <v>273139.40677966102</v>
      </c>
      <c r="S6" s="139">
        <f t="shared" si="5"/>
        <v>273139.40677966102</v>
      </c>
      <c r="T6" s="139">
        <f t="shared" si="5"/>
        <v>273139.40677966102</v>
      </c>
      <c r="U6" s="189">
        <f t="shared" si="5"/>
        <v>273139.40677966102</v>
      </c>
      <c r="V6" s="139">
        <f t="shared" si="5"/>
        <v>273139.40677966102</v>
      </c>
      <c r="W6" s="139">
        <f t="shared" si="5"/>
        <v>273139.40677966102</v>
      </c>
      <c r="X6" s="139">
        <f t="shared" si="5"/>
        <v>273139.40677966102</v>
      </c>
      <c r="Y6" s="139">
        <f t="shared" si="5"/>
        <v>273139.40677966102</v>
      </c>
      <c r="Z6" s="189">
        <f t="shared" si="5"/>
        <v>273139.40677966102</v>
      </c>
      <c r="AA6" s="337" t="s">
        <v>63</v>
      </c>
      <c r="AB6" s="130" t="str">
        <f t="shared" ref="AB6:AB16" si="6">O6</f>
        <v>Основные фонды и нематериальные активы, в т.ч.:</v>
      </c>
      <c r="AC6" s="139"/>
      <c r="AD6" s="139">
        <f t="shared" ref="AD6:AM6" si="7">AD7+AD8+AD9+AD10</f>
        <v>273139.40677966102</v>
      </c>
      <c r="AE6" s="139">
        <f t="shared" si="7"/>
        <v>273139.40677966102</v>
      </c>
      <c r="AF6" s="139">
        <f t="shared" si="7"/>
        <v>273139.40677966102</v>
      </c>
      <c r="AG6" s="139">
        <f t="shared" si="7"/>
        <v>273139.40677966102</v>
      </c>
      <c r="AH6" s="189">
        <f t="shared" si="7"/>
        <v>273139.40677966102</v>
      </c>
      <c r="AI6" s="139">
        <f t="shared" si="7"/>
        <v>273139.40677966102</v>
      </c>
      <c r="AJ6" s="139">
        <f t="shared" si="7"/>
        <v>273139.40677966102</v>
      </c>
      <c r="AK6" s="139">
        <f t="shared" si="7"/>
        <v>273139.40677966102</v>
      </c>
      <c r="AL6" s="139">
        <f t="shared" si="7"/>
        <v>273139.40677966102</v>
      </c>
      <c r="AM6" s="189">
        <f t="shared" si="7"/>
        <v>273139.40677966102</v>
      </c>
      <c r="AN6" s="342" t="s">
        <v>63</v>
      </c>
      <c r="AO6" s="137" t="str">
        <f t="shared" ref="AO6:AO16" si="8">AB6</f>
        <v>Основные фонды и нематериальные активы, в т.ч.:</v>
      </c>
      <c r="AP6" s="139"/>
      <c r="AQ6" s="139">
        <f t="shared" ref="AQ6:AZ6" si="9">AQ7+AQ8+AQ9+AQ10</f>
        <v>273139.40677966102</v>
      </c>
      <c r="AR6" s="139">
        <f t="shared" si="9"/>
        <v>273139.40677966102</v>
      </c>
      <c r="AS6" s="139">
        <f t="shared" si="9"/>
        <v>273139.40677966102</v>
      </c>
      <c r="AT6" s="139">
        <f t="shared" si="9"/>
        <v>273139.40677966102</v>
      </c>
      <c r="AU6" s="189">
        <f t="shared" si="9"/>
        <v>273139.40677966102</v>
      </c>
      <c r="AV6" s="139">
        <f t="shared" si="9"/>
        <v>273139.40677966102</v>
      </c>
      <c r="AW6" s="139">
        <f t="shared" si="9"/>
        <v>273139.40677966102</v>
      </c>
      <c r="AX6" s="139">
        <f t="shared" si="9"/>
        <v>273139.40677966102</v>
      </c>
      <c r="AY6" s="139">
        <f t="shared" si="9"/>
        <v>273139.40677966102</v>
      </c>
      <c r="AZ6" s="189">
        <f t="shared" si="9"/>
        <v>273139.40677966102</v>
      </c>
    </row>
    <row r="7" spans="1:52" ht="12.6" customHeight="1">
      <c r="A7" s="338"/>
      <c r="B7" s="137" t="s">
        <v>17</v>
      </c>
      <c r="C7" s="139"/>
      <c r="D7" s="139">
        <v>0</v>
      </c>
      <c r="E7" s="139">
        <f t="shared" ref="E7:H10" si="10">D7</f>
        <v>0</v>
      </c>
      <c r="F7" s="139">
        <f t="shared" si="10"/>
        <v>0</v>
      </c>
      <c r="G7" s="139">
        <f t="shared" si="10"/>
        <v>0</v>
      </c>
      <c r="H7" s="139">
        <f t="shared" si="10"/>
        <v>0</v>
      </c>
      <c r="I7" s="139">
        <f>('Т 1'!C8+'Т 1'!C9)/1.18</f>
        <v>172881.35593220341</v>
      </c>
      <c r="J7" s="139">
        <f t="shared" ref="J7:M10" si="11">I7</f>
        <v>172881.35593220341</v>
      </c>
      <c r="K7" s="139">
        <f t="shared" si="11"/>
        <v>172881.35593220341</v>
      </c>
      <c r="L7" s="139">
        <f t="shared" si="11"/>
        <v>172881.35593220341</v>
      </c>
      <c r="M7" s="139">
        <f t="shared" si="11"/>
        <v>172881.35593220341</v>
      </c>
      <c r="N7" s="338"/>
      <c r="O7" s="137" t="str">
        <f t="shared" si="4"/>
        <v>здания и сооружения</v>
      </c>
      <c r="P7" s="139"/>
      <c r="Q7" s="139">
        <f>M7</f>
        <v>172881.35593220341</v>
      </c>
      <c r="R7" s="139">
        <f t="shared" ref="R7:U10" si="12">Q7</f>
        <v>172881.35593220341</v>
      </c>
      <c r="S7" s="139">
        <f t="shared" si="12"/>
        <v>172881.35593220341</v>
      </c>
      <c r="T7" s="139">
        <f t="shared" si="12"/>
        <v>172881.35593220341</v>
      </c>
      <c r="U7" s="139">
        <f t="shared" si="12"/>
        <v>172881.35593220341</v>
      </c>
      <c r="V7" s="139">
        <f>T7</f>
        <v>172881.35593220341</v>
      </c>
      <c r="W7" s="139">
        <f t="shared" ref="W7:Z10" si="13">V7</f>
        <v>172881.35593220341</v>
      </c>
      <c r="X7" s="139">
        <f t="shared" si="13"/>
        <v>172881.35593220341</v>
      </c>
      <c r="Y7" s="139">
        <f t="shared" si="13"/>
        <v>172881.35593220341</v>
      </c>
      <c r="Z7" s="139">
        <f t="shared" si="13"/>
        <v>172881.35593220341</v>
      </c>
      <c r="AA7" s="338"/>
      <c r="AB7" s="137" t="str">
        <f t="shared" si="6"/>
        <v>здания и сооружения</v>
      </c>
      <c r="AC7" s="139"/>
      <c r="AD7" s="139">
        <f>Y7</f>
        <v>172881.35593220341</v>
      </c>
      <c r="AE7" s="139">
        <f t="shared" ref="AE7:AM7" si="14">AD7</f>
        <v>172881.35593220341</v>
      </c>
      <c r="AF7" s="139">
        <f t="shared" si="14"/>
        <v>172881.35593220341</v>
      </c>
      <c r="AG7" s="139">
        <f t="shared" si="14"/>
        <v>172881.35593220341</v>
      </c>
      <c r="AH7" s="139">
        <f t="shared" si="14"/>
        <v>172881.35593220341</v>
      </c>
      <c r="AI7" s="139">
        <f t="shared" si="14"/>
        <v>172881.35593220341</v>
      </c>
      <c r="AJ7" s="139">
        <f t="shared" si="14"/>
        <v>172881.35593220341</v>
      </c>
      <c r="AK7" s="139">
        <f t="shared" si="14"/>
        <v>172881.35593220341</v>
      </c>
      <c r="AL7" s="139">
        <f t="shared" si="14"/>
        <v>172881.35593220341</v>
      </c>
      <c r="AM7" s="139">
        <f t="shared" si="14"/>
        <v>172881.35593220341</v>
      </c>
      <c r="AN7" s="343"/>
      <c r="AO7" s="137" t="str">
        <f t="shared" si="8"/>
        <v>здания и сооружения</v>
      </c>
      <c r="AP7" s="139"/>
      <c r="AQ7" s="139">
        <f>AM7</f>
        <v>172881.35593220341</v>
      </c>
      <c r="AR7" s="139">
        <f t="shared" ref="AR7:AZ7" si="15">AQ7</f>
        <v>172881.35593220341</v>
      </c>
      <c r="AS7" s="139">
        <f t="shared" si="15"/>
        <v>172881.35593220341</v>
      </c>
      <c r="AT7" s="139">
        <f t="shared" si="15"/>
        <v>172881.35593220341</v>
      </c>
      <c r="AU7" s="139">
        <f t="shared" si="15"/>
        <v>172881.35593220341</v>
      </c>
      <c r="AV7" s="139">
        <f t="shared" si="15"/>
        <v>172881.35593220341</v>
      </c>
      <c r="AW7" s="139">
        <f t="shared" si="15"/>
        <v>172881.35593220341</v>
      </c>
      <c r="AX7" s="139">
        <f t="shared" si="15"/>
        <v>172881.35593220341</v>
      </c>
      <c r="AY7" s="139">
        <f t="shared" si="15"/>
        <v>172881.35593220341</v>
      </c>
      <c r="AZ7" s="139">
        <f t="shared" si="15"/>
        <v>172881.35593220341</v>
      </c>
    </row>
    <row r="8" spans="1:52" ht="12.6" customHeight="1">
      <c r="A8" s="338"/>
      <c r="B8" s="137" t="s">
        <v>66</v>
      </c>
      <c r="C8" s="139"/>
      <c r="D8" s="139">
        <v>0</v>
      </c>
      <c r="E8" s="139">
        <f t="shared" si="10"/>
        <v>0</v>
      </c>
      <c r="F8" s="139">
        <f t="shared" si="10"/>
        <v>0</v>
      </c>
      <c r="G8" s="139">
        <f t="shared" si="10"/>
        <v>0</v>
      </c>
      <c r="H8" s="139">
        <f t="shared" si="10"/>
        <v>0</v>
      </c>
      <c r="I8" s="139">
        <f>'Т 1'!C10/1.18-D9</f>
        <v>93220.338983050853</v>
      </c>
      <c r="J8" s="139">
        <f t="shared" si="11"/>
        <v>93220.338983050853</v>
      </c>
      <c r="K8" s="139">
        <f t="shared" si="11"/>
        <v>93220.338983050853</v>
      </c>
      <c r="L8" s="139">
        <f t="shared" si="11"/>
        <v>93220.338983050853</v>
      </c>
      <c r="M8" s="139">
        <f t="shared" si="11"/>
        <v>93220.338983050853</v>
      </c>
      <c r="N8" s="338"/>
      <c r="O8" s="137" t="str">
        <f t="shared" si="4"/>
        <v>оборудование</v>
      </c>
      <c r="P8" s="139"/>
      <c r="Q8" s="139">
        <f>M8</f>
        <v>93220.338983050853</v>
      </c>
      <c r="R8" s="139">
        <f t="shared" si="12"/>
        <v>93220.338983050853</v>
      </c>
      <c r="S8" s="139">
        <f t="shared" si="12"/>
        <v>93220.338983050853</v>
      </c>
      <c r="T8" s="139">
        <f t="shared" si="12"/>
        <v>93220.338983050853</v>
      </c>
      <c r="U8" s="139">
        <f t="shared" si="12"/>
        <v>93220.338983050853</v>
      </c>
      <c r="V8" s="139">
        <f>T8</f>
        <v>93220.338983050853</v>
      </c>
      <c r="W8" s="139">
        <f t="shared" si="13"/>
        <v>93220.338983050853</v>
      </c>
      <c r="X8" s="139">
        <f t="shared" si="13"/>
        <v>93220.338983050853</v>
      </c>
      <c r="Y8" s="139">
        <f t="shared" si="13"/>
        <v>93220.338983050853</v>
      </c>
      <c r="Z8" s="139">
        <f t="shared" si="13"/>
        <v>93220.338983050853</v>
      </c>
      <c r="AA8" s="338"/>
      <c r="AB8" s="137" t="str">
        <f t="shared" si="6"/>
        <v>оборудование</v>
      </c>
      <c r="AC8" s="139"/>
      <c r="AD8" s="139">
        <f>Y8</f>
        <v>93220.338983050853</v>
      </c>
      <c r="AE8" s="139">
        <f t="shared" ref="AE8:AM8" si="16">AD8</f>
        <v>93220.338983050853</v>
      </c>
      <c r="AF8" s="139">
        <f t="shared" si="16"/>
        <v>93220.338983050853</v>
      </c>
      <c r="AG8" s="139">
        <f t="shared" si="16"/>
        <v>93220.338983050853</v>
      </c>
      <c r="AH8" s="139">
        <f t="shared" si="16"/>
        <v>93220.338983050853</v>
      </c>
      <c r="AI8" s="139">
        <f t="shared" si="16"/>
        <v>93220.338983050853</v>
      </c>
      <c r="AJ8" s="139">
        <f t="shared" si="16"/>
        <v>93220.338983050853</v>
      </c>
      <c r="AK8" s="139">
        <f t="shared" si="16"/>
        <v>93220.338983050853</v>
      </c>
      <c r="AL8" s="139">
        <f t="shared" si="16"/>
        <v>93220.338983050853</v>
      </c>
      <c r="AM8" s="139">
        <f t="shared" si="16"/>
        <v>93220.338983050853</v>
      </c>
      <c r="AN8" s="343"/>
      <c r="AO8" s="137" t="str">
        <f t="shared" si="8"/>
        <v>оборудование</v>
      </c>
      <c r="AP8" s="139"/>
      <c r="AQ8" s="139">
        <f>AM8</f>
        <v>93220.338983050853</v>
      </c>
      <c r="AR8" s="139">
        <f t="shared" ref="AR8:AZ8" si="17">AQ8</f>
        <v>93220.338983050853</v>
      </c>
      <c r="AS8" s="139">
        <f t="shared" si="17"/>
        <v>93220.338983050853</v>
      </c>
      <c r="AT8" s="139">
        <f t="shared" si="17"/>
        <v>93220.338983050853</v>
      </c>
      <c r="AU8" s="139">
        <f t="shared" si="17"/>
        <v>93220.338983050853</v>
      </c>
      <c r="AV8" s="139">
        <f t="shared" si="17"/>
        <v>93220.338983050853</v>
      </c>
      <c r="AW8" s="139">
        <f t="shared" si="17"/>
        <v>93220.338983050853</v>
      </c>
      <c r="AX8" s="139">
        <f t="shared" si="17"/>
        <v>93220.338983050853</v>
      </c>
      <c r="AY8" s="139">
        <f t="shared" si="17"/>
        <v>93220.338983050853</v>
      </c>
      <c r="AZ8" s="139">
        <f t="shared" si="17"/>
        <v>93220.338983050853</v>
      </c>
    </row>
    <row r="9" spans="1:52" ht="12.6" customHeight="1">
      <c r="A9" s="338"/>
      <c r="B9" s="137" t="s">
        <v>19</v>
      </c>
      <c r="C9" s="139"/>
      <c r="D9" s="139">
        <v>0</v>
      </c>
      <c r="E9" s="139">
        <f t="shared" si="10"/>
        <v>0</v>
      </c>
      <c r="F9" s="139">
        <f t="shared" si="10"/>
        <v>0</v>
      </c>
      <c r="G9" s="139">
        <f t="shared" si="10"/>
        <v>0</v>
      </c>
      <c r="H9" s="139">
        <f t="shared" si="10"/>
        <v>0</v>
      </c>
      <c r="I9" s="139">
        <f>H9</f>
        <v>0</v>
      </c>
      <c r="J9" s="139">
        <f t="shared" si="11"/>
        <v>0</v>
      </c>
      <c r="K9" s="139">
        <f t="shared" si="11"/>
        <v>0</v>
      </c>
      <c r="L9" s="139">
        <f t="shared" si="11"/>
        <v>0</v>
      </c>
      <c r="M9" s="139">
        <f t="shared" si="11"/>
        <v>0</v>
      </c>
      <c r="N9" s="338"/>
      <c r="O9" s="137" t="str">
        <f t="shared" si="4"/>
        <v>транспортные средства</v>
      </c>
      <c r="P9" s="139"/>
      <c r="Q9" s="139">
        <f>M9</f>
        <v>0</v>
      </c>
      <c r="R9" s="139">
        <f t="shared" si="12"/>
        <v>0</v>
      </c>
      <c r="S9" s="139">
        <f t="shared" si="12"/>
        <v>0</v>
      </c>
      <c r="T9" s="139">
        <f t="shared" si="12"/>
        <v>0</v>
      </c>
      <c r="U9" s="139">
        <f t="shared" si="12"/>
        <v>0</v>
      </c>
      <c r="V9" s="139">
        <f>U9</f>
        <v>0</v>
      </c>
      <c r="W9" s="139">
        <f t="shared" si="13"/>
        <v>0</v>
      </c>
      <c r="X9" s="139">
        <f t="shared" si="13"/>
        <v>0</v>
      </c>
      <c r="Y9" s="139">
        <f t="shared" si="13"/>
        <v>0</v>
      </c>
      <c r="Z9" s="139">
        <f t="shared" si="13"/>
        <v>0</v>
      </c>
      <c r="AA9" s="338"/>
      <c r="AB9" s="137" t="str">
        <f t="shared" si="6"/>
        <v>транспортные средства</v>
      </c>
      <c r="AC9" s="139"/>
      <c r="AD9" s="139">
        <f>Z9</f>
        <v>0</v>
      </c>
      <c r="AE9" s="139">
        <f t="shared" ref="AE9:AM9" si="18">AD9</f>
        <v>0</v>
      </c>
      <c r="AF9" s="139">
        <f t="shared" si="18"/>
        <v>0</v>
      </c>
      <c r="AG9" s="139">
        <f t="shared" si="18"/>
        <v>0</v>
      </c>
      <c r="AH9" s="139">
        <f t="shared" si="18"/>
        <v>0</v>
      </c>
      <c r="AI9" s="139">
        <f t="shared" si="18"/>
        <v>0</v>
      </c>
      <c r="AJ9" s="139">
        <f t="shared" si="18"/>
        <v>0</v>
      </c>
      <c r="AK9" s="139">
        <f t="shared" si="18"/>
        <v>0</v>
      </c>
      <c r="AL9" s="139">
        <f t="shared" si="18"/>
        <v>0</v>
      </c>
      <c r="AM9" s="139">
        <f t="shared" si="18"/>
        <v>0</v>
      </c>
      <c r="AN9" s="343"/>
      <c r="AO9" s="137" t="str">
        <f t="shared" si="8"/>
        <v>транспортные средства</v>
      </c>
      <c r="AP9" s="139"/>
      <c r="AQ9" s="139">
        <f>AM9</f>
        <v>0</v>
      </c>
      <c r="AR9" s="139">
        <f t="shared" ref="AR9:AZ9" si="19">AQ9</f>
        <v>0</v>
      </c>
      <c r="AS9" s="139">
        <f t="shared" si="19"/>
        <v>0</v>
      </c>
      <c r="AT9" s="139">
        <f t="shared" si="19"/>
        <v>0</v>
      </c>
      <c r="AU9" s="139">
        <f t="shared" si="19"/>
        <v>0</v>
      </c>
      <c r="AV9" s="139">
        <f t="shared" si="19"/>
        <v>0</v>
      </c>
      <c r="AW9" s="139">
        <f t="shared" si="19"/>
        <v>0</v>
      </c>
      <c r="AX9" s="139">
        <f t="shared" si="19"/>
        <v>0</v>
      </c>
      <c r="AY9" s="139">
        <f t="shared" si="19"/>
        <v>0</v>
      </c>
      <c r="AZ9" s="139">
        <f t="shared" si="19"/>
        <v>0</v>
      </c>
    </row>
    <row r="10" spans="1:52" ht="12.6" customHeight="1">
      <c r="A10" s="339"/>
      <c r="B10" s="137" t="s">
        <v>67</v>
      </c>
      <c r="C10" s="139"/>
      <c r="D10" s="139">
        <v>0</v>
      </c>
      <c r="E10" s="139">
        <f t="shared" si="10"/>
        <v>0</v>
      </c>
      <c r="F10" s="139">
        <f t="shared" si="10"/>
        <v>0</v>
      </c>
      <c r="G10" s="139">
        <f t="shared" si="10"/>
        <v>0</v>
      </c>
      <c r="H10" s="139">
        <f t="shared" si="10"/>
        <v>0</v>
      </c>
      <c r="I10" s="139">
        <f>'Т 1'!C11/1.18</f>
        <v>7037.7118644067805</v>
      </c>
      <c r="J10" s="139">
        <f t="shared" si="11"/>
        <v>7037.7118644067805</v>
      </c>
      <c r="K10" s="139">
        <f t="shared" si="11"/>
        <v>7037.7118644067805</v>
      </c>
      <c r="L10" s="139">
        <f t="shared" si="11"/>
        <v>7037.7118644067805</v>
      </c>
      <c r="M10" s="139">
        <f t="shared" si="11"/>
        <v>7037.7118644067805</v>
      </c>
      <c r="N10" s="339"/>
      <c r="O10" s="137" t="str">
        <f t="shared" si="4"/>
        <v>прочее</v>
      </c>
      <c r="P10" s="139"/>
      <c r="Q10" s="139">
        <f>M10</f>
        <v>7037.7118644067805</v>
      </c>
      <c r="R10" s="139">
        <f t="shared" si="12"/>
        <v>7037.7118644067805</v>
      </c>
      <c r="S10" s="139">
        <f t="shared" si="12"/>
        <v>7037.7118644067805</v>
      </c>
      <c r="T10" s="139">
        <f t="shared" si="12"/>
        <v>7037.7118644067805</v>
      </c>
      <c r="U10" s="139">
        <f t="shared" si="12"/>
        <v>7037.7118644067805</v>
      </c>
      <c r="V10" s="139">
        <f>U10</f>
        <v>7037.7118644067805</v>
      </c>
      <c r="W10" s="139">
        <f t="shared" si="13"/>
        <v>7037.7118644067805</v>
      </c>
      <c r="X10" s="139">
        <f t="shared" si="13"/>
        <v>7037.7118644067805</v>
      </c>
      <c r="Y10" s="139">
        <f t="shared" si="13"/>
        <v>7037.7118644067805</v>
      </c>
      <c r="Z10" s="139">
        <f t="shared" si="13"/>
        <v>7037.7118644067805</v>
      </c>
      <c r="AA10" s="339"/>
      <c r="AB10" s="137" t="str">
        <f t="shared" si="6"/>
        <v>прочее</v>
      </c>
      <c r="AC10" s="139"/>
      <c r="AD10" s="139">
        <f>Z10</f>
        <v>7037.7118644067805</v>
      </c>
      <c r="AE10" s="139">
        <f t="shared" ref="AE10:AM10" si="20">AD10</f>
        <v>7037.7118644067805</v>
      </c>
      <c r="AF10" s="139">
        <f t="shared" si="20"/>
        <v>7037.7118644067805</v>
      </c>
      <c r="AG10" s="139">
        <f t="shared" si="20"/>
        <v>7037.7118644067805</v>
      </c>
      <c r="AH10" s="139">
        <f t="shared" si="20"/>
        <v>7037.7118644067805</v>
      </c>
      <c r="AI10" s="139">
        <f t="shared" si="20"/>
        <v>7037.7118644067805</v>
      </c>
      <c r="AJ10" s="139">
        <f t="shared" si="20"/>
        <v>7037.7118644067805</v>
      </c>
      <c r="AK10" s="139">
        <f t="shared" si="20"/>
        <v>7037.7118644067805</v>
      </c>
      <c r="AL10" s="139">
        <f t="shared" si="20"/>
        <v>7037.7118644067805</v>
      </c>
      <c r="AM10" s="139">
        <f t="shared" si="20"/>
        <v>7037.7118644067805</v>
      </c>
      <c r="AN10" s="344"/>
      <c r="AO10" s="137" t="str">
        <f t="shared" si="8"/>
        <v>прочее</v>
      </c>
      <c r="AP10" s="139"/>
      <c r="AQ10" s="139">
        <f>AM10</f>
        <v>7037.7118644067805</v>
      </c>
      <c r="AR10" s="139">
        <f t="shared" ref="AR10:AZ10" si="21">AQ10</f>
        <v>7037.7118644067805</v>
      </c>
      <c r="AS10" s="139">
        <f t="shared" si="21"/>
        <v>7037.7118644067805</v>
      </c>
      <c r="AT10" s="139">
        <f t="shared" si="21"/>
        <v>7037.7118644067805</v>
      </c>
      <c r="AU10" s="139">
        <f t="shared" si="21"/>
        <v>7037.7118644067805</v>
      </c>
      <c r="AV10" s="139">
        <f t="shared" si="21"/>
        <v>7037.7118644067805</v>
      </c>
      <c r="AW10" s="139">
        <f t="shared" si="21"/>
        <v>7037.7118644067805</v>
      </c>
      <c r="AX10" s="139">
        <f t="shared" si="21"/>
        <v>7037.7118644067805</v>
      </c>
      <c r="AY10" s="139">
        <f t="shared" si="21"/>
        <v>7037.7118644067805</v>
      </c>
      <c r="AZ10" s="139">
        <f t="shared" si="21"/>
        <v>7037.7118644067805</v>
      </c>
    </row>
    <row r="11" spans="1:52" ht="22.65" customHeight="1">
      <c r="A11" s="337" t="s">
        <v>68</v>
      </c>
      <c r="B11" s="130" t="s">
        <v>244</v>
      </c>
      <c r="C11" s="139"/>
      <c r="D11" s="139">
        <f t="shared" ref="D11:M11" si="22">D12+D13+D14+D15</f>
        <v>0</v>
      </c>
      <c r="E11" s="139">
        <f t="shared" si="22"/>
        <v>0</v>
      </c>
      <c r="F11" s="139">
        <f t="shared" si="22"/>
        <v>0</v>
      </c>
      <c r="G11" s="139">
        <f t="shared" si="22"/>
        <v>0</v>
      </c>
      <c r="H11" s="189">
        <f t="shared" si="22"/>
        <v>0</v>
      </c>
      <c r="I11" s="139">
        <f t="shared" si="22"/>
        <v>4176.6172316384182</v>
      </c>
      <c r="J11" s="139">
        <f t="shared" si="22"/>
        <v>4176.6172316384182</v>
      </c>
      <c r="K11" s="139">
        <f t="shared" si="22"/>
        <v>4176.6172316384182</v>
      </c>
      <c r="L11" s="139">
        <f t="shared" si="22"/>
        <v>4176.6172316384182</v>
      </c>
      <c r="M11" s="189">
        <f t="shared" si="22"/>
        <v>16706.468926553673</v>
      </c>
      <c r="N11" s="337" t="s">
        <v>68</v>
      </c>
      <c r="O11" s="130" t="str">
        <f t="shared" si="4"/>
        <v>Начисленная амортизация по проекту</v>
      </c>
      <c r="P11" s="139"/>
      <c r="Q11" s="139">
        <f t="shared" ref="Q11:Z11" si="23">Q12+Q13+Q14+Q15</f>
        <v>4176.6172316384182</v>
      </c>
      <c r="R11" s="139">
        <f t="shared" si="23"/>
        <v>4176.6172316384182</v>
      </c>
      <c r="S11" s="139">
        <f t="shared" si="23"/>
        <v>4176.6172316384182</v>
      </c>
      <c r="T11" s="139">
        <f t="shared" si="23"/>
        <v>4176.6172316384182</v>
      </c>
      <c r="U11" s="189">
        <f t="shared" si="23"/>
        <v>16706.468926553673</v>
      </c>
      <c r="V11" s="139">
        <f t="shared" si="23"/>
        <v>4176.6172316384182</v>
      </c>
      <c r="W11" s="139">
        <f t="shared" si="23"/>
        <v>4176.6172316384182</v>
      </c>
      <c r="X11" s="139">
        <f t="shared" si="23"/>
        <v>4176.6172316384182</v>
      </c>
      <c r="Y11" s="139">
        <f t="shared" si="23"/>
        <v>4176.6172316384182</v>
      </c>
      <c r="Z11" s="189">
        <f t="shared" si="23"/>
        <v>16706.468926553673</v>
      </c>
      <c r="AA11" s="337" t="s">
        <v>68</v>
      </c>
      <c r="AB11" s="130" t="str">
        <f t="shared" si="6"/>
        <v>Начисленная амортизация по проекту</v>
      </c>
      <c r="AC11" s="139"/>
      <c r="AD11" s="139">
        <f t="shared" ref="AD11:AM11" si="24">AD12+AD13+AD14+AD15</f>
        <v>4176.6172316384182</v>
      </c>
      <c r="AE11" s="139">
        <f t="shared" si="24"/>
        <v>4176.6172316384182</v>
      </c>
      <c r="AF11" s="139">
        <f t="shared" si="24"/>
        <v>4176.6172316384182</v>
      </c>
      <c r="AG11" s="139">
        <f t="shared" si="24"/>
        <v>4176.6172316384182</v>
      </c>
      <c r="AH11" s="189">
        <f t="shared" si="24"/>
        <v>16706.468926553673</v>
      </c>
      <c r="AI11" s="139">
        <f t="shared" si="24"/>
        <v>4176.6172316384182</v>
      </c>
      <c r="AJ11" s="139">
        <f t="shared" si="24"/>
        <v>4176.6172316384182</v>
      </c>
      <c r="AK11" s="139">
        <f t="shared" si="24"/>
        <v>4176.6172316384182</v>
      </c>
      <c r="AL11" s="139">
        <f t="shared" si="24"/>
        <v>4176.6172316384182</v>
      </c>
      <c r="AM11" s="189">
        <f t="shared" si="24"/>
        <v>16706.468926553673</v>
      </c>
      <c r="AN11" s="342" t="s">
        <v>68</v>
      </c>
      <c r="AO11" s="137" t="str">
        <f t="shared" si="8"/>
        <v>Начисленная амортизация по проекту</v>
      </c>
      <c r="AP11" s="139"/>
      <c r="AQ11" s="139">
        <f t="shared" ref="AQ11:AZ11" si="25">AQ12+AQ13+AQ14+AQ15</f>
        <v>4176.6172316384182</v>
      </c>
      <c r="AR11" s="139">
        <f t="shared" si="25"/>
        <v>4176.6172316384182</v>
      </c>
      <c r="AS11" s="139">
        <f t="shared" si="25"/>
        <v>4176.6172316384182</v>
      </c>
      <c r="AT11" s="139">
        <f t="shared" si="25"/>
        <v>4176.6172316384182</v>
      </c>
      <c r="AU11" s="189">
        <f t="shared" si="25"/>
        <v>16706.468926553673</v>
      </c>
      <c r="AV11" s="139">
        <f t="shared" si="25"/>
        <v>4176.6172316384182</v>
      </c>
      <c r="AW11" s="139">
        <f t="shared" si="25"/>
        <v>4176.6172316384182</v>
      </c>
      <c r="AX11" s="139">
        <f t="shared" si="25"/>
        <v>4176.6172316384182</v>
      </c>
      <c r="AY11" s="139">
        <f t="shared" si="25"/>
        <v>4176.6172316384182</v>
      </c>
      <c r="AZ11" s="189">
        <f t="shared" si="25"/>
        <v>16706.468926553673</v>
      </c>
    </row>
    <row r="12" spans="1:52" ht="12.6" customHeight="1">
      <c r="A12" s="340"/>
      <c r="B12" s="137" t="str">
        <f>B7</f>
        <v>здания и сооружения</v>
      </c>
      <c r="C12" s="190">
        <f>'Исходные данные'!C20</f>
        <v>0.04</v>
      </c>
      <c r="D12" s="139">
        <f t="shared" ref="D12:G15" si="26">D7*$C12/4</f>
        <v>0</v>
      </c>
      <c r="E12" s="139">
        <f t="shared" si="26"/>
        <v>0</v>
      </c>
      <c r="F12" s="139">
        <f t="shared" si="26"/>
        <v>0</v>
      </c>
      <c r="G12" s="139">
        <f t="shared" si="26"/>
        <v>0</v>
      </c>
      <c r="H12" s="139">
        <f>D12+E12+F12+G12</f>
        <v>0</v>
      </c>
      <c r="I12" s="139">
        <f t="shared" ref="I12:L15" si="27">I7*$C12/4</f>
        <v>1728.8135593220341</v>
      </c>
      <c r="J12" s="139">
        <f t="shared" si="27"/>
        <v>1728.8135593220341</v>
      </c>
      <c r="K12" s="139">
        <f t="shared" si="27"/>
        <v>1728.8135593220341</v>
      </c>
      <c r="L12" s="139">
        <f t="shared" si="27"/>
        <v>1728.8135593220341</v>
      </c>
      <c r="M12" s="139">
        <f>I12+J12+K12+L12</f>
        <v>6915.2542372881362</v>
      </c>
      <c r="N12" s="340"/>
      <c r="O12" s="137" t="str">
        <f t="shared" si="4"/>
        <v>здания и сооружения</v>
      </c>
      <c r="P12" s="190">
        <f>C12</f>
        <v>0.04</v>
      </c>
      <c r="Q12" s="139">
        <f t="shared" ref="Q12:T15" si="28">Q7*$C12/4</f>
        <v>1728.8135593220341</v>
      </c>
      <c r="R12" s="139">
        <f t="shared" si="28"/>
        <v>1728.8135593220341</v>
      </c>
      <c r="S12" s="139">
        <f t="shared" si="28"/>
        <v>1728.8135593220341</v>
      </c>
      <c r="T12" s="139">
        <f t="shared" si="28"/>
        <v>1728.8135593220341</v>
      </c>
      <c r="U12" s="139">
        <f>Q12+R12+S12+T12</f>
        <v>6915.2542372881362</v>
      </c>
      <c r="V12" s="139">
        <f t="shared" ref="V12:Y15" si="29">V7*$C12/4</f>
        <v>1728.8135593220341</v>
      </c>
      <c r="W12" s="139">
        <f t="shared" si="29"/>
        <v>1728.8135593220341</v>
      </c>
      <c r="X12" s="139">
        <f t="shared" si="29"/>
        <v>1728.8135593220341</v>
      </c>
      <c r="Y12" s="139">
        <f t="shared" si="29"/>
        <v>1728.8135593220341</v>
      </c>
      <c r="Z12" s="139">
        <f>V12+W12+X12+Y12</f>
        <v>6915.2542372881362</v>
      </c>
      <c r="AA12" s="340"/>
      <c r="AB12" s="137" t="str">
        <f t="shared" si="6"/>
        <v>здания и сооружения</v>
      </c>
      <c r="AC12" s="190">
        <f>C12</f>
        <v>0.04</v>
      </c>
      <c r="AD12" s="139">
        <f t="shared" ref="AD12:AG15" si="30">AD7*$C12/4</f>
        <v>1728.8135593220341</v>
      </c>
      <c r="AE12" s="139">
        <f t="shared" si="30"/>
        <v>1728.8135593220341</v>
      </c>
      <c r="AF12" s="139">
        <f t="shared" si="30"/>
        <v>1728.8135593220341</v>
      </c>
      <c r="AG12" s="139">
        <f t="shared" si="30"/>
        <v>1728.8135593220341</v>
      </c>
      <c r="AH12" s="139">
        <f>AD12+AE12+AF12+AG12</f>
        <v>6915.2542372881362</v>
      </c>
      <c r="AI12" s="139">
        <f t="shared" ref="AI12:AL15" si="31">AI7*$C12/4</f>
        <v>1728.8135593220341</v>
      </c>
      <c r="AJ12" s="139">
        <f t="shared" si="31"/>
        <v>1728.8135593220341</v>
      </c>
      <c r="AK12" s="139">
        <f t="shared" si="31"/>
        <v>1728.8135593220341</v>
      </c>
      <c r="AL12" s="139">
        <f t="shared" si="31"/>
        <v>1728.8135593220341</v>
      </c>
      <c r="AM12" s="139">
        <f>AI12+AJ12+AK12+AL12</f>
        <v>6915.2542372881362</v>
      </c>
      <c r="AN12" s="345"/>
      <c r="AO12" s="137" t="str">
        <f t="shared" si="8"/>
        <v>здания и сооружения</v>
      </c>
      <c r="AP12" s="190">
        <f>C12</f>
        <v>0.04</v>
      </c>
      <c r="AQ12" s="139">
        <f t="shared" ref="AQ12:AT15" si="32">AQ7*$C12/4</f>
        <v>1728.8135593220341</v>
      </c>
      <c r="AR12" s="139">
        <f t="shared" si="32"/>
        <v>1728.8135593220341</v>
      </c>
      <c r="AS12" s="139">
        <f t="shared" si="32"/>
        <v>1728.8135593220341</v>
      </c>
      <c r="AT12" s="139">
        <f t="shared" si="32"/>
        <v>1728.8135593220341</v>
      </c>
      <c r="AU12" s="139">
        <f>AQ12+AR12+AS12+AT12</f>
        <v>6915.2542372881362</v>
      </c>
      <c r="AV12" s="139">
        <f t="shared" ref="AV12:AY15" si="33">AV7*$C12/4</f>
        <v>1728.8135593220341</v>
      </c>
      <c r="AW12" s="139">
        <f t="shared" si="33"/>
        <v>1728.8135593220341</v>
      </c>
      <c r="AX12" s="139">
        <f t="shared" si="33"/>
        <v>1728.8135593220341</v>
      </c>
      <c r="AY12" s="139">
        <f t="shared" si="33"/>
        <v>1728.8135593220341</v>
      </c>
      <c r="AZ12" s="139">
        <f>AV12+AW12+AX12+AY12</f>
        <v>6915.2542372881362</v>
      </c>
    </row>
    <row r="13" spans="1:52" ht="12.6" customHeight="1">
      <c r="A13" s="340"/>
      <c r="B13" s="137" t="str">
        <f>B8</f>
        <v>оборудование</v>
      </c>
      <c r="C13" s="190">
        <f>'Исходные данные'!C21</f>
        <v>0.1</v>
      </c>
      <c r="D13" s="139">
        <f t="shared" si="26"/>
        <v>0</v>
      </c>
      <c r="E13" s="139">
        <f t="shared" si="26"/>
        <v>0</v>
      </c>
      <c r="F13" s="139">
        <f t="shared" si="26"/>
        <v>0</v>
      </c>
      <c r="G13" s="139">
        <f t="shared" si="26"/>
        <v>0</v>
      </c>
      <c r="H13" s="139">
        <f>D13+E13+F13+G13</f>
        <v>0</v>
      </c>
      <c r="I13" s="139">
        <f t="shared" si="27"/>
        <v>2330.5084745762715</v>
      </c>
      <c r="J13" s="139">
        <f t="shared" si="27"/>
        <v>2330.5084745762715</v>
      </c>
      <c r="K13" s="139">
        <f t="shared" si="27"/>
        <v>2330.5084745762715</v>
      </c>
      <c r="L13" s="139">
        <f t="shared" si="27"/>
        <v>2330.5084745762715</v>
      </c>
      <c r="M13" s="139">
        <f>I13+J13+K13+L13</f>
        <v>9322.033898305086</v>
      </c>
      <c r="N13" s="340"/>
      <c r="O13" s="137" t="str">
        <f t="shared" si="4"/>
        <v>оборудование</v>
      </c>
      <c r="P13" s="190">
        <f>C13</f>
        <v>0.1</v>
      </c>
      <c r="Q13" s="139">
        <f t="shared" si="28"/>
        <v>2330.5084745762715</v>
      </c>
      <c r="R13" s="139">
        <f t="shared" si="28"/>
        <v>2330.5084745762715</v>
      </c>
      <c r="S13" s="139">
        <f t="shared" si="28"/>
        <v>2330.5084745762715</v>
      </c>
      <c r="T13" s="139">
        <f t="shared" si="28"/>
        <v>2330.5084745762715</v>
      </c>
      <c r="U13" s="139">
        <f>Q13+R13+S13+T13</f>
        <v>9322.033898305086</v>
      </c>
      <c r="V13" s="139">
        <f t="shared" si="29"/>
        <v>2330.5084745762715</v>
      </c>
      <c r="W13" s="139">
        <f t="shared" si="29"/>
        <v>2330.5084745762715</v>
      </c>
      <c r="X13" s="139">
        <f t="shared" si="29"/>
        <v>2330.5084745762715</v>
      </c>
      <c r="Y13" s="139">
        <f t="shared" si="29"/>
        <v>2330.5084745762715</v>
      </c>
      <c r="Z13" s="139">
        <f>V13+W13+X13+Y13</f>
        <v>9322.033898305086</v>
      </c>
      <c r="AA13" s="340"/>
      <c r="AB13" s="137" t="str">
        <f t="shared" si="6"/>
        <v>оборудование</v>
      </c>
      <c r="AC13" s="190">
        <f>C13</f>
        <v>0.1</v>
      </c>
      <c r="AD13" s="139">
        <f t="shared" si="30"/>
        <v>2330.5084745762715</v>
      </c>
      <c r="AE13" s="139">
        <f t="shared" si="30"/>
        <v>2330.5084745762715</v>
      </c>
      <c r="AF13" s="139">
        <f t="shared" si="30"/>
        <v>2330.5084745762715</v>
      </c>
      <c r="AG13" s="139">
        <f t="shared" si="30"/>
        <v>2330.5084745762715</v>
      </c>
      <c r="AH13" s="139">
        <f>AD13+AE13+AF13+AG13</f>
        <v>9322.033898305086</v>
      </c>
      <c r="AI13" s="139">
        <f t="shared" si="31"/>
        <v>2330.5084745762715</v>
      </c>
      <c r="AJ13" s="139">
        <f t="shared" si="31"/>
        <v>2330.5084745762715</v>
      </c>
      <c r="AK13" s="139">
        <f t="shared" si="31"/>
        <v>2330.5084745762715</v>
      </c>
      <c r="AL13" s="139">
        <f t="shared" si="31"/>
        <v>2330.5084745762715</v>
      </c>
      <c r="AM13" s="139">
        <f>AI13+AJ13+AK13+AL13</f>
        <v>9322.033898305086</v>
      </c>
      <c r="AN13" s="345"/>
      <c r="AO13" s="137" t="str">
        <f t="shared" si="8"/>
        <v>оборудование</v>
      </c>
      <c r="AP13" s="190">
        <f>C13</f>
        <v>0.1</v>
      </c>
      <c r="AQ13" s="139">
        <f t="shared" si="32"/>
        <v>2330.5084745762715</v>
      </c>
      <c r="AR13" s="139">
        <f t="shared" si="32"/>
        <v>2330.5084745762715</v>
      </c>
      <c r="AS13" s="139">
        <f t="shared" si="32"/>
        <v>2330.5084745762715</v>
      </c>
      <c r="AT13" s="139">
        <f t="shared" si="32"/>
        <v>2330.5084745762715</v>
      </c>
      <c r="AU13" s="139">
        <f>AQ13+AR13+AS13+AT13</f>
        <v>9322.033898305086</v>
      </c>
      <c r="AV13" s="139">
        <f t="shared" si="33"/>
        <v>2330.5084745762715</v>
      </c>
      <c r="AW13" s="139">
        <f t="shared" si="33"/>
        <v>2330.5084745762715</v>
      </c>
      <c r="AX13" s="139">
        <f t="shared" si="33"/>
        <v>2330.5084745762715</v>
      </c>
      <c r="AY13" s="139">
        <f t="shared" si="33"/>
        <v>2330.5084745762715</v>
      </c>
      <c r="AZ13" s="139">
        <f>AV13+AW13+AX13+AY13</f>
        <v>9322.033898305086</v>
      </c>
    </row>
    <row r="14" spans="1:52" ht="12.6" customHeight="1">
      <c r="A14" s="340"/>
      <c r="B14" s="137" t="str">
        <f>B9</f>
        <v>транспортные средства</v>
      </c>
      <c r="C14" s="190">
        <f>'Исходные данные'!C22</f>
        <v>0.1</v>
      </c>
      <c r="D14" s="139">
        <f t="shared" si="26"/>
        <v>0</v>
      </c>
      <c r="E14" s="139">
        <f t="shared" si="26"/>
        <v>0</v>
      </c>
      <c r="F14" s="139">
        <f t="shared" si="26"/>
        <v>0</v>
      </c>
      <c r="G14" s="139">
        <f t="shared" si="26"/>
        <v>0</v>
      </c>
      <c r="H14" s="139">
        <f>D14+E14+F14+G14</f>
        <v>0</v>
      </c>
      <c r="I14" s="139">
        <f t="shared" si="27"/>
        <v>0</v>
      </c>
      <c r="J14" s="139">
        <f t="shared" si="27"/>
        <v>0</v>
      </c>
      <c r="K14" s="139">
        <f t="shared" si="27"/>
        <v>0</v>
      </c>
      <c r="L14" s="139">
        <f t="shared" si="27"/>
        <v>0</v>
      </c>
      <c r="M14" s="139">
        <f>I14+J14+K14+L14</f>
        <v>0</v>
      </c>
      <c r="N14" s="340"/>
      <c r="O14" s="137" t="str">
        <f t="shared" si="4"/>
        <v>транспортные средства</v>
      </c>
      <c r="P14" s="190">
        <f>C14</f>
        <v>0.1</v>
      </c>
      <c r="Q14" s="139">
        <f t="shared" si="28"/>
        <v>0</v>
      </c>
      <c r="R14" s="139">
        <f t="shared" si="28"/>
        <v>0</v>
      </c>
      <c r="S14" s="139">
        <f t="shared" si="28"/>
        <v>0</v>
      </c>
      <c r="T14" s="139">
        <f t="shared" si="28"/>
        <v>0</v>
      </c>
      <c r="U14" s="139">
        <f>Q14+R14+S14+T14</f>
        <v>0</v>
      </c>
      <c r="V14" s="139">
        <f t="shared" si="29"/>
        <v>0</v>
      </c>
      <c r="W14" s="139">
        <f t="shared" si="29"/>
        <v>0</v>
      </c>
      <c r="X14" s="139">
        <f t="shared" si="29"/>
        <v>0</v>
      </c>
      <c r="Y14" s="139">
        <f t="shared" si="29"/>
        <v>0</v>
      </c>
      <c r="Z14" s="139">
        <f>V14+W14+X14+Y14</f>
        <v>0</v>
      </c>
      <c r="AA14" s="340"/>
      <c r="AB14" s="137" t="str">
        <f t="shared" si="6"/>
        <v>транспортные средства</v>
      </c>
      <c r="AC14" s="190">
        <f>C14</f>
        <v>0.1</v>
      </c>
      <c r="AD14" s="139">
        <f t="shared" si="30"/>
        <v>0</v>
      </c>
      <c r="AE14" s="139">
        <f t="shared" si="30"/>
        <v>0</v>
      </c>
      <c r="AF14" s="139">
        <f t="shared" si="30"/>
        <v>0</v>
      </c>
      <c r="AG14" s="139">
        <f t="shared" si="30"/>
        <v>0</v>
      </c>
      <c r="AH14" s="139">
        <f>AD14+AE14+AF14+AG14</f>
        <v>0</v>
      </c>
      <c r="AI14" s="139">
        <f t="shared" si="31"/>
        <v>0</v>
      </c>
      <c r="AJ14" s="139">
        <f t="shared" si="31"/>
        <v>0</v>
      </c>
      <c r="AK14" s="139">
        <f t="shared" si="31"/>
        <v>0</v>
      </c>
      <c r="AL14" s="139">
        <f t="shared" si="31"/>
        <v>0</v>
      </c>
      <c r="AM14" s="139">
        <f>AI14+AJ14+AK14+AL14</f>
        <v>0</v>
      </c>
      <c r="AN14" s="345"/>
      <c r="AO14" s="137" t="str">
        <f t="shared" si="8"/>
        <v>транспортные средства</v>
      </c>
      <c r="AP14" s="190">
        <f>C14</f>
        <v>0.1</v>
      </c>
      <c r="AQ14" s="139">
        <f t="shared" si="32"/>
        <v>0</v>
      </c>
      <c r="AR14" s="139">
        <f t="shared" si="32"/>
        <v>0</v>
      </c>
      <c r="AS14" s="139">
        <f t="shared" si="32"/>
        <v>0</v>
      </c>
      <c r="AT14" s="139">
        <f t="shared" si="32"/>
        <v>0</v>
      </c>
      <c r="AU14" s="139">
        <f>AQ14+AR14+AS14+AT14</f>
        <v>0</v>
      </c>
      <c r="AV14" s="139">
        <f t="shared" si="33"/>
        <v>0</v>
      </c>
      <c r="AW14" s="139">
        <f t="shared" si="33"/>
        <v>0</v>
      </c>
      <c r="AX14" s="139">
        <f t="shared" si="33"/>
        <v>0</v>
      </c>
      <c r="AY14" s="139">
        <f t="shared" si="33"/>
        <v>0</v>
      </c>
      <c r="AZ14" s="139">
        <f>AV14+AW14+AX14+AY14</f>
        <v>0</v>
      </c>
    </row>
    <row r="15" spans="1:52" ht="12.6" customHeight="1">
      <c r="A15" s="341"/>
      <c r="B15" s="137" t="str">
        <f>B10</f>
        <v>прочее</v>
      </c>
      <c r="C15" s="190">
        <f>'Исходные данные'!C23</f>
        <v>6.6666666666666666E-2</v>
      </c>
      <c r="D15" s="139">
        <f t="shared" si="26"/>
        <v>0</v>
      </c>
      <c r="E15" s="139">
        <f t="shared" si="26"/>
        <v>0</v>
      </c>
      <c r="F15" s="139">
        <f t="shared" si="26"/>
        <v>0</v>
      </c>
      <c r="G15" s="139">
        <f t="shared" si="26"/>
        <v>0</v>
      </c>
      <c r="H15" s="139">
        <f>D15+E15+F15+G15</f>
        <v>0</v>
      </c>
      <c r="I15" s="139">
        <f t="shared" si="27"/>
        <v>117.29519774011301</v>
      </c>
      <c r="J15" s="139">
        <f t="shared" si="27"/>
        <v>117.29519774011301</v>
      </c>
      <c r="K15" s="139">
        <f t="shared" si="27"/>
        <v>117.29519774011301</v>
      </c>
      <c r="L15" s="139">
        <f t="shared" si="27"/>
        <v>117.29519774011301</v>
      </c>
      <c r="M15" s="139">
        <f>I15+J15+K15+L15</f>
        <v>469.18079096045204</v>
      </c>
      <c r="N15" s="341"/>
      <c r="O15" s="137" t="str">
        <f t="shared" si="4"/>
        <v>прочее</v>
      </c>
      <c r="P15" s="190">
        <f>C15</f>
        <v>6.6666666666666666E-2</v>
      </c>
      <c r="Q15" s="139">
        <f t="shared" si="28"/>
        <v>117.29519774011301</v>
      </c>
      <c r="R15" s="139">
        <f t="shared" si="28"/>
        <v>117.29519774011301</v>
      </c>
      <c r="S15" s="139">
        <f t="shared" si="28"/>
        <v>117.29519774011301</v>
      </c>
      <c r="T15" s="139">
        <f t="shared" si="28"/>
        <v>117.29519774011301</v>
      </c>
      <c r="U15" s="139">
        <f>Q15+R15+S15+T15</f>
        <v>469.18079096045204</v>
      </c>
      <c r="V15" s="139">
        <f t="shared" si="29"/>
        <v>117.29519774011301</v>
      </c>
      <c r="W15" s="139">
        <f t="shared" si="29"/>
        <v>117.29519774011301</v>
      </c>
      <c r="X15" s="139">
        <f t="shared" si="29"/>
        <v>117.29519774011301</v>
      </c>
      <c r="Y15" s="139">
        <f t="shared" si="29"/>
        <v>117.29519774011301</v>
      </c>
      <c r="Z15" s="139">
        <f>V15+W15+X15+Y15</f>
        <v>469.18079096045204</v>
      </c>
      <c r="AA15" s="341"/>
      <c r="AB15" s="137" t="str">
        <f t="shared" si="6"/>
        <v>прочее</v>
      </c>
      <c r="AC15" s="190">
        <f>C15</f>
        <v>6.6666666666666666E-2</v>
      </c>
      <c r="AD15" s="139">
        <f t="shared" si="30"/>
        <v>117.29519774011301</v>
      </c>
      <c r="AE15" s="139">
        <f t="shared" si="30"/>
        <v>117.29519774011301</v>
      </c>
      <c r="AF15" s="139">
        <f t="shared" si="30"/>
        <v>117.29519774011301</v>
      </c>
      <c r="AG15" s="139">
        <f t="shared" si="30"/>
        <v>117.29519774011301</v>
      </c>
      <c r="AH15" s="139">
        <f>AD15+AE15+AF15+AG15</f>
        <v>469.18079096045204</v>
      </c>
      <c r="AI15" s="139">
        <f t="shared" si="31"/>
        <v>117.29519774011301</v>
      </c>
      <c r="AJ15" s="139">
        <f t="shared" si="31"/>
        <v>117.29519774011301</v>
      </c>
      <c r="AK15" s="139">
        <f t="shared" si="31"/>
        <v>117.29519774011301</v>
      </c>
      <c r="AL15" s="139">
        <f t="shared" si="31"/>
        <v>117.29519774011301</v>
      </c>
      <c r="AM15" s="139">
        <f>AI15+AJ15+AK15+AL15</f>
        <v>469.18079096045204</v>
      </c>
      <c r="AN15" s="346"/>
      <c r="AO15" s="137" t="str">
        <f t="shared" si="8"/>
        <v>прочее</v>
      </c>
      <c r="AP15" s="190">
        <f>C15</f>
        <v>6.6666666666666666E-2</v>
      </c>
      <c r="AQ15" s="139">
        <f t="shared" si="32"/>
        <v>117.29519774011301</v>
      </c>
      <c r="AR15" s="139">
        <f t="shared" si="32"/>
        <v>117.29519774011301</v>
      </c>
      <c r="AS15" s="139">
        <f t="shared" si="32"/>
        <v>117.29519774011301</v>
      </c>
      <c r="AT15" s="139">
        <f t="shared" si="32"/>
        <v>117.29519774011301</v>
      </c>
      <c r="AU15" s="139">
        <f>AQ15+AR15+AS15+AT15</f>
        <v>469.18079096045204</v>
      </c>
      <c r="AV15" s="139">
        <f t="shared" si="33"/>
        <v>117.29519774011301</v>
      </c>
      <c r="AW15" s="139">
        <f t="shared" si="33"/>
        <v>117.29519774011301</v>
      </c>
      <c r="AX15" s="139">
        <f t="shared" si="33"/>
        <v>117.29519774011301</v>
      </c>
      <c r="AY15" s="139">
        <f t="shared" si="33"/>
        <v>117.29519774011301</v>
      </c>
      <c r="AZ15" s="139">
        <f>AV15+AW15+AX15+AY15</f>
        <v>469.18079096045204</v>
      </c>
    </row>
    <row r="16" spans="1:52" ht="32.700000000000003" customHeight="1">
      <c r="A16" s="175" t="s">
        <v>70</v>
      </c>
      <c r="B16" s="130" t="s">
        <v>245</v>
      </c>
      <c r="C16" s="139"/>
      <c r="D16" s="139">
        <f>D6-D11</f>
        <v>0</v>
      </c>
      <c r="E16" s="139">
        <f>D16-E11</f>
        <v>0</v>
      </c>
      <c r="F16" s="139">
        <f>E16-F11</f>
        <v>0</v>
      </c>
      <c r="G16" s="139">
        <f>F16-G11</f>
        <v>0</v>
      </c>
      <c r="H16" s="189">
        <f>G16</f>
        <v>0</v>
      </c>
      <c r="I16" s="139">
        <f>I6-I11</f>
        <v>268962.78954802261</v>
      </c>
      <c r="J16" s="139">
        <f>I16-J11</f>
        <v>264786.17231638421</v>
      </c>
      <c r="K16" s="139">
        <f>J16-K11</f>
        <v>260609.55508474581</v>
      </c>
      <c r="L16" s="139">
        <f>K16-L11</f>
        <v>256432.9378531074</v>
      </c>
      <c r="M16" s="189">
        <f>L16</f>
        <v>256432.9378531074</v>
      </c>
      <c r="N16" s="175" t="s">
        <v>70</v>
      </c>
      <c r="O16" s="130" t="str">
        <f t="shared" si="4"/>
        <v>Остаточная стоимость основных фондов и нематериальных активов по проекту (п. 1 - п. 2)</v>
      </c>
      <c r="P16" s="139"/>
      <c r="Q16" s="139">
        <f>M16-Q11</f>
        <v>252256.320621469</v>
      </c>
      <c r="R16" s="139">
        <f>Q16-R11</f>
        <v>248079.7033898306</v>
      </c>
      <c r="S16" s="139">
        <f>R16-S11</f>
        <v>243903.08615819219</v>
      </c>
      <c r="T16" s="139">
        <f>S16-T11</f>
        <v>239726.46892655379</v>
      </c>
      <c r="U16" s="189">
        <f>T16</f>
        <v>239726.46892655379</v>
      </c>
      <c r="V16" s="139">
        <f>T16-V11</f>
        <v>235549.85169491539</v>
      </c>
      <c r="W16" s="139">
        <f>V16-W11</f>
        <v>231373.23446327698</v>
      </c>
      <c r="X16" s="139">
        <f>W16-X11</f>
        <v>227196.61723163858</v>
      </c>
      <c r="Y16" s="139">
        <f>X16-Y11</f>
        <v>223020.00000000017</v>
      </c>
      <c r="Z16" s="189">
        <f>Y16</f>
        <v>223020.00000000017</v>
      </c>
      <c r="AA16" s="175" t="s">
        <v>70</v>
      </c>
      <c r="AB16" s="130" t="str">
        <f t="shared" si="6"/>
        <v>Остаточная стоимость основных фондов и нематериальных активов по проекту (п. 1 - п. 2)</v>
      </c>
      <c r="AC16" s="139"/>
      <c r="AD16" s="139">
        <f>Z16-AD11</f>
        <v>218843.38276836177</v>
      </c>
      <c r="AE16" s="139">
        <f>AD16-AE11</f>
        <v>214666.76553672337</v>
      </c>
      <c r="AF16" s="139">
        <f>AE16-AF11</f>
        <v>210490.14830508496</v>
      </c>
      <c r="AG16" s="139">
        <f>AF16-AG11</f>
        <v>206313.53107344656</v>
      </c>
      <c r="AH16" s="189">
        <f>AG16</f>
        <v>206313.53107344656</v>
      </c>
      <c r="AI16" s="139">
        <f>AH16-AI11</f>
        <v>202136.91384180816</v>
      </c>
      <c r="AJ16" s="139">
        <f>AI16-AJ11</f>
        <v>197960.29661016975</v>
      </c>
      <c r="AK16" s="139">
        <f>AJ16-AK11</f>
        <v>193783.67937853135</v>
      </c>
      <c r="AL16" s="139">
        <f>AK16-AL11</f>
        <v>189607.06214689295</v>
      </c>
      <c r="AM16" s="189">
        <f>AL16</f>
        <v>189607.06214689295</v>
      </c>
      <c r="AN16" s="136" t="s">
        <v>70</v>
      </c>
      <c r="AO16" s="137" t="str">
        <f t="shared" si="8"/>
        <v>Остаточная стоимость основных фондов и нематериальных активов по проекту (п. 1 - п. 2)</v>
      </c>
      <c r="AP16" s="139"/>
      <c r="AQ16" s="139">
        <f>AM16-AQ11</f>
        <v>185430.44491525454</v>
      </c>
      <c r="AR16" s="139">
        <f>AQ16-AR11</f>
        <v>181253.82768361614</v>
      </c>
      <c r="AS16" s="139">
        <f>AR16-AS11</f>
        <v>177077.21045197773</v>
      </c>
      <c r="AT16" s="139">
        <f>AS16-AT11</f>
        <v>172900.59322033933</v>
      </c>
      <c r="AU16" s="189">
        <f>AT16</f>
        <v>172900.59322033933</v>
      </c>
      <c r="AV16" s="139">
        <f>AU16-AV11</f>
        <v>168723.97598870093</v>
      </c>
      <c r="AW16" s="139">
        <f>AV16-AW11</f>
        <v>164547.35875706252</v>
      </c>
      <c r="AX16" s="139">
        <f>AW16-AX11</f>
        <v>160370.74152542412</v>
      </c>
      <c r="AY16" s="139">
        <f>AX16-AY11</f>
        <v>156194.12429378572</v>
      </c>
      <c r="AZ16" s="189">
        <f>AY16</f>
        <v>156194.12429378572</v>
      </c>
    </row>
    <row r="17" spans="1:52" ht="15" customHeight="1">
      <c r="A17" s="18"/>
      <c r="B17" s="18"/>
      <c r="C17" s="18"/>
      <c r="D17" s="191">
        <f>G22</f>
        <v>0</v>
      </c>
      <c r="E17" s="191">
        <f>G25</f>
        <v>0</v>
      </c>
      <c r="F17" s="191">
        <f>G28</f>
        <v>0</v>
      </c>
      <c r="G17" s="192">
        <f>G31</f>
        <v>0</v>
      </c>
      <c r="H17" s="193">
        <f>D17+E17+F17+G17</f>
        <v>0</v>
      </c>
      <c r="I17" s="194">
        <f>G34</f>
        <v>1490.7810399011296</v>
      </c>
      <c r="J17" s="191">
        <f>G37</f>
        <v>1467.8096451271181</v>
      </c>
      <c r="K17" s="191">
        <f>G40</f>
        <v>1444.8382503531068</v>
      </c>
      <c r="L17" s="192">
        <f>G43</f>
        <v>1421.8668555790953</v>
      </c>
      <c r="M17" s="193">
        <f>I17+J17+K17+L17</f>
        <v>5825.2957909604502</v>
      </c>
      <c r="N17" s="91"/>
      <c r="O17" s="18"/>
      <c r="P17" s="18"/>
      <c r="Q17" s="191">
        <f>G46</f>
        <v>1398.8954608050835</v>
      </c>
      <c r="R17" s="191">
        <f>G49</f>
        <v>1375.9240660310718</v>
      </c>
      <c r="S17" s="191">
        <f>G52</f>
        <v>1352.9526712570605</v>
      </c>
      <c r="T17" s="192">
        <f>G55</f>
        <v>1329.9812764830492</v>
      </c>
      <c r="U17" s="193">
        <f>Q17+R17+S17+T17</f>
        <v>5457.753474576265</v>
      </c>
      <c r="V17" s="194">
        <f>G58</f>
        <v>1307.0098817090375</v>
      </c>
      <c r="W17" s="191">
        <f>G61</f>
        <v>1284.0384869350257</v>
      </c>
      <c r="X17" s="191">
        <f>G64</f>
        <v>1261.0670921610144</v>
      </c>
      <c r="Y17" s="192">
        <f>G67</f>
        <v>1238.0956973870029</v>
      </c>
      <c r="Z17" s="193">
        <f>V17+W17+X17+Y17</f>
        <v>5090.2111581920799</v>
      </c>
      <c r="AA17" s="91"/>
      <c r="AB17" s="18"/>
      <c r="AC17" s="18"/>
      <c r="AD17" s="191">
        <f>G70</f>
        <v>1215.1243026129912</v>
      </c>
      <c r="AE17" s="191">
        <f>G73</f>
        <v>1192.1529078389797</v>
      </c>
      <c r="AF17" s="191">
        <f>G76</f>
        <v>1169.1815130649682</v>
      </c>
      <c r="AG17" s="192">
        <f>G79</f>
        <v>1146.2101182909569</v>
      </c>
      <c r="AH17" s="193">
        <f>AD17+AE17+AF17+AG17</f>
        <v>4722.6688418078957</v>
      </c>
      <c r="AI17" s="194">
        <f>G82</f>
        <v>1123.2387235169451</v>
      </c>
      <c r="AJ17" s="191">
        <f>G85</f>
        <v>1100.2673287429334</v>
      </c>
      <c r="AK17" s="191">
        <f>G88</f>
        <v>1077.2959339689221</v>
      </c>
      <c r="AL17" s="192">
        <f>G91</f>
        <v>1054.3245391949106</v>
      </c>
      <c r="AM17" s="193">
        <f>AI17+AJ17+AK17+AL17</f>
        <v>4355.1265254237114</v>
      </c>
      <c r="AN17" s="91"/>
      <c r="AO17" s="18"/>
      <c r="AP17" s="18"/>
      <c r="AQ17" s="191">
        <f>G94</f>
        <v>1031.3531444208991</v>
      </c>
      <c r="AR17" s="191">
        <f>G97</f>
        <v>1008.3817496468872</v>
      </c>
      <c r="AS17" s="191">
        <f>G100</f>
        <v>985.41035487287593</v>
      </c>
      <c r="AT17" s="192">
        <f>G103</f>
        <v>962.43896009886453</v>
      </c>
      <c r="AU17" s="193">
        <f>AQ17+AR17+AS17+AT17</f>
        <v>3987.5842090395263</v>
      </c>
      <c r="AV17" s="194">
        <f>G106</f>
        <v>939.46756532485279</v>
      </c>
      <c r="AW17" s="191">
        <f>G109</f>
        <v>916.49617055084127</v>
      </c>
      <c r="AX17" s="191">
        <f>G112</f>
        <v>893.52477577682976</v>
      </c>
      <c r="AY17" s="192">
        <f>G115</f>
        <v>870.55338100281824</v>
      </c>
      <c r="AZ17" s="193">
        <f>AV17+AW17+AX17+AY17</f>
        <v>3620.0418926553421</v>
      </c>
    </row>
    <row r="18" spans="1:52" ht="15" customHeight="1">
      <c r="A18" s="2"/>
      <c r="B18" s="2"/>
      <c r="C18" s="335" t="s">
        <v>246</v>
      </c>
      <c r="D18" s="336"/>
      <c r="E18" s="336"/>
      <c r="F18" s="336"/>
      <c r="G18" s="336"/>
      <c r="H18" s="195">
        <v>0</v>
      </c>
      <c r="I18" s="2"/>
      <c r="J18" s="2"/>
      <c r="K18" s="2"/>
      <c r="L18" s="2"/>
      <c r="M18" s="195">
        <v>1</v>
      </c>
      <c r="N18" s="2"/>
      <c r="O18" s="2"/>
      <c r="P18" s="2"/>
      <c r="Q18" s="2"/>
      <c r="R18" s="2"/>
      <c r="S18" s="2"/>
      <c r="T18" s="2"/>
      <c r="U18" s="195">
        <v>2</v>
      </c>
      <c r="V18" s="2"/>
      <c r="W18" s="2"/>
      <c r="X18" s="2"/>
      <c r="Y18" s="2"/>
      <c r="Z18" s="195">
        <v>3</v>
      </c>
      <c r="AA18" s="2"/>
      <c r="AB18" s="2"/>
      <c r="AC18" s="2"/>
      <c r="AD18" s="2"/>
      <c r="AE18" s="2"/>
      <c r="AF18" s="2"/>
      <c r="AG18" s="2"/>
      <c r="AH18" s="195">
        <v>4</v>
      </c>
      <c r="AI18" s="2"/>
      <c r="AJ18" s="2"/>
      <c r="AK18" s="2"/>
      <c r="AL18" s="2"/>
      <c r="AM18" s="195">
        <v>5</v>
      </c>
      <c r="AN18" s="2"/>
      <c r="AO18" s="2"/>
      <c r="AP18" s="2"/>
      <c r="AQ18" s="2"/>
      <c r="AR18" s="2"/>
      <c r="AS18" s="2"/>
      <c r="AT18" s="2"/>
      <c r="AU18" s="195">
        <v>6</v>
      </c>
      <c r="AV18" s="2"/>
      <c r="AW18" s="2"/>
      <c r="AX18" s="2"/>
      <c r="AY18" s="2"/>
      <c r="AZ18" s="195">
        <v>7</v>
      </c>
    </row>
    <row r="19" spans="1:52" ht="15" customHeight="1">
      <c r="A19" s="2"/>
      <c r="B19" s="196"/>
      <c r="C19" s="197"/>
      <c r="D19" s="197"/>
      <c r="E19" s="197"/>
      <c r="F19" s="197"/>
      <c r="G19" s="197"/>
      <c r="H19" s="1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5" customHeight="1">
      <c r="A20" s="2"/>
      <c r="B20" s="196"/>
      <c r="C20" s="198">
        <v>42736</v>
      </c>
      <c r="D20" s="199">
        <f>D6</f>
        <v>0</v>
      </c>
      <c r="E20" s="199">
        <f>$D$11/3</f>
        <v>0</v>
      </c>
      <c r="F20" s="199">
        <f t="shared" ref="F20:F51" si="34">D20-E20</f>
        <v>0</v>
      </c>
      <c r="G20" s="199"/>
      <c r="H20" s="1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5" customHeight="1">
      <c r="A21" s="2"/>
      <c r="B21" s="196"/>
      <c r="C21" s="198">
        <v>42767</v>
      </c>
      <c r="D21" s="199">
        <f t="shared" ref="D21:D31" si="35">F20</f>
        <v>0</v>
      </c>
      <c r="E21" s="199">
        <f>$D$11/3</f>
        <v>0</v>
      </c>
      <c r="F21" s="199">
        <f t="shared" si="34"/>
        <v>0</v>
      </c>
      <c r="G21" s="199"/>
      <c r="H21" s="1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5" customHeight="1">
      <c r="A22" s="2"/>
      <c r="B22" s="196"/>
      <c r="C22" s="198">
        <v>42795</v>
      </c>
      <c r="D22" s="199">
        <f t="shared" si="35"/>
        <v>0</v>
      </c>
      <c r="E22" s="199">
        <f>$D$11/3</f>
        <v>0</v>
      </c>
      <c r="F22" s="199">
        <f t="shared" si="34"/>
        <v>0</v>
      </c>
      <c r="G22" s="199">
        <f>(D20+D21+D22+F22)/4*'Исходные данные'!$B$102/4</f>
        <v>0</v>
      </c>
      <c r="H22" s="1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5" customHeight="1">
      <c r="A23" s="2"/>
      <c r="B23" s="196"/>
      <c r="C23" s="198">
        <v>42826</v>
      </c>
      <c r="D23" s="199">
        <f t="shared" si="35"/>
        <v>0</v>
      </c>
      <c r="E23" s="199">
        <f>$E$11/3</f>
        <v>0</v>
      </c>
      <c r="F23" s="199">
        <f t="shared" si="34"/>
        <v>0</v>
      </c>
      <c r="G23" s="199"/>
      <c r="H23" s="1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5" customHeight="1">
      <c r="A24" s="2"/>
      <c r="B24" s="196"/>
      <c r="C24" s="198">
        <v>42856</v>
      </c>
      <c r="D24" s="199">
        <f t="shared" si="35"/>
        <v>0</v>
      </c>
      <c r="E24" s="199">
        <f>$E$11/3</f>
        <v>0</v>
      </c>
      <c r="F24" s="199">
        <f t="shared" si="34"/>
        <v>0</v>
      </c>
      <c r="G24" s="199"/>
      <c r="H24" s="1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5" customHeight="1">
      <c r="A25" s="2"/>
      <c r="B25" s="196"/>
      <c r="C25" s="198">
        <v>42887</v>
      </c>
      <c r="D25" s="199">
        <f t="shared" si="35"/>
        <v>0</v>
      </c>
      <c r="E25" s="199">
        <f>$E$11/3</f>
        <v>0</v>
      </c>
      <c r="F25" s="199">
        <f t="shared" si="34"/>
        <v>0</v>
      </c>
      <c r="G25" s="199">
        <f>(D23+D24+D25+F25)/4*'Исходные данные'!$B$102/4</f>
        <v>0</v>
      </c>
      <c r="H25" s="1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5" customHeight="1">
      <c r="A26" s="2"/>
      <c r="B26" s="196"/>
      <c r="C26" s="198">
        <v>42917</v>
      </c>
      <c r="D26" s="199">
        <f t="shared" si="35"/>
        <v>0</v>
      </c>
      <c r="E26" s="199">
        <f>$F$11/3</f>
        <v>0</v>
      </c>
      <c r="F26" s="199">
        <f t="shared" si="34"/>
        <v>0</v>
      </c>
      <c r="G26" s="199"/>
      <c r="H26" s="1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5" customHeight="1">
      <c r="A27" s="2"/>
      <c r="B27" s="196"/>
      <c r="C27" s="198">
        <v>42948</v>
      </c>
      <c r="D27" s="199">
        <f t="shared" si="35"/>
        <v>0</v>
      </c>
      <c r="E27" s="199">
        <f>$F$11/3</f>
        <v>0</v>
      </c>
      <c r="F27" s="199">
        <f t="shared" si="34"/>
        <v>0</v>
      </c>
      <c r="G27" s="199"/>
      <c r="H27" s="1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5" customHeight="1">
      <c r="A28" s="2"/>
      <c r="B28" s="196"/>
      <c r="C28" s="198">
        <v>42979</v>
      </c>
      <c r="D28" s="199">
        <f t="shared" si="35"/>
        <v>0</v>
      </c>
      <c r="E28" s="199">
        <f>$F$11/3</f>
        <v>0</v>
      </c>
      <c r="F28" s="199">
        <f t="shared" si="34"/>
        <v>0</v>
      </c>
      <c r="G28" s="199">
        <f>(D26+D27+D28+F28)/4*'Исходные данные'!$B$102/4</f>
        <v>0</v>
      </c>
      <c r="H28" s="1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5" customHeight="1">
      <c r="A29" s="2"/>
      <c r="B29" s="196"/>
      <c r="C29" s="198">
        <v>43009</v>
      </c>
      <c r="D29" s="199">
        <f t="shared" si="35"/>
        <v>0</v>
      </c>
      <c r="E29" s="199">
        <f>$G$11/3</f>
        <v>0</v>
      </c>
      <c r="F29" s="199">
        <f t="shared" si="34"/>
        <v>0</v>
      </c>
      <c r="G29" s="199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5" customHeight="1">
      <c r="A30" s="2"/>
      <c r="B30" s="196"/>
      <c r="C30" s="198">
        <v>43040</v>
      </c>
      <c r="D30" s="199">
        <f t="shared" si="35"/>
        <v>0</v>
      </c>
      <c r="E30" s="199">
        <f>$G$11/3</f>
        <v>0</v>
      </c>
      <c r="F30" s="199">
        <f t="shared" si="34"/>
        <v>0</v>
      </c>
      <c r="G30" s="199"/>
      <c r="H30" s="1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5" customHeight="1">
      <c r="A31" s="2"/>
      <c r="B31" s="196"/>
      <c r="C31" s="198">
        <v>43070</v>
      </c>
      <c r="D31" s="199">
        <f t="shared" si="35"/>
        <v>0</v>
      </c>
      <c r="E31" s="199">
        <f>$G$11/3</f>
        <v>0</v>
      </c>
      <c r="F31" s="199">
        <f t="shared" si="34"/>
        <v>0</v>
      </c>
      <c r="G31" s="199">
        <f>(D29+D30+D31+F31)/4*'Исходные данные'!$B$102/4</f>
        <v>0</v>
      </c>
      <c r="H31" s="1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5" customHeight="1">
      <c r="A32" s="2"/>
      <c r="B32" s="196"/>
      <c r="C32" s="198">
        <v>43101</v>
      </c>
      <c r="D32" s="199">
        <f>I6</f>
        <v>273139.40677966102</v>
      </c>
      <c r="E32" s="199">
        <f>$I$11/3</f>
        <v>1392.2057438794727</v>
      </c>
      <c r="F32" s="199">
        <f t="shared" si="34"/>
        <v>271747.20103578153</v>
      </c>
      <c r="G32" s="199"/>
      <c r="H32" s="1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5" customHeight="1">
      <c r="A33" s="2"/>
      <c r="B33" s="196"/>
      <c r="C33" s="198">
        <v>43132</v>
      </c>
      <c r="D33" s="199">
        <f t="shared" ref="D33:D64" si="36">F32</f>
        <v>271747.20103578153</v>
      </c>
      <c r="E33" s="199">
        <f>$I$11/3</f>
        <v>1392.2057438794727</v>
      </c>
      <c r="F33" s="199">
        <f t="shared" si="34"/>
        <v>270354.99529190204</v>
      </c>
      <c r="G33" s="199"/>
      <c r="H33" s="1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5" customHeight="1">
      <c r="A34" s="2"/>
      <c r="B34" s="196"/>
      <c r="C34" s="198">
        <v>43160</v>
      </c>
      <c r="D34" s="199">
        <f t="shared" si="36"/>
        <v>270354.99529190204</v>
      </c>
      <c r="E34" s="199">
        <f>$I$11/3</f>
        <v>1392.2057438794727</v>
      </c>
      <c r="F34" s="199">
        <f t="shared" si="34"/>
        <v>268962.78954802256</v>
      </c>
      <c r="G34" s="199">
        <f>(D32+D33+D34+F34)/4*'Исходные данные'!$B$102/4</f>
        <v>1490.7810399011296</v>
      </c>
      <c r="H34" s="1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5" customHeight="1">
      <c r="A35" s="2"/>
      <c r="B35" s="196"/>
      <c r="C35" s="198">
        <v>43191</v>
      </c>
      <c r="D35" s="199">
        <f t="shared" si="36"/>
        <v>268962.78954802256</v>
      </c>
      <c r="E35" s="199">
        <f>$J$11/3</f>
        <v>1392.2057438794727</v>
      </c>
      <c r="F35" s="199">
        <f t="shared" si="34"/>
        <v>267570.58380414307</v>
      </c>
      <c r="G35" s="199"/>
      <c r="H35" s="1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5" customHeight="1">
      <c r="A36" s="2"/>
      <c r="B36" s="196"/>
      <c r="C36" s="198">
        <v>43221</v>
      </c>
      <c r="D36" s="199">
        <f t="shared" si="36"/>
        <v>267570.58380414307</v>
      </c>
      <c r="E36" s="199">
        <f>$J$11/3</f>
        <v>1392.2057438794727</v>
      </c>
      <c r="F36" s="199">
        <f t="shared" si="34"/>
        <v>266178.37806026358</v>
      </c>
      <c r="G36" s="199"/>
      <c r="H36" s="1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5" customHeight="1">
      <c r="A37" s="2"/>
      <c r="B37" s="196"/>
      <c r="C37" s="198">
        <v>43252</v>
      </c>
      <c r="D37" s="199">
        <f t="shared" si="36"/>
        <v>266178.37806026358</v>
      </c>
      <c r="E37" s="199">
        <f>$J$11/3</f>
        <v>1392.2057438794727</v>
      </c>
      <c r="F37" s="199">
        <f t="shared" si="34"/>
        <v>264786.17231638409</v>
      </c>
      <c r="G37" s="199">
        <f>(D35+D36+D37+F37)/4*'Исходные данные'!$B$102/4</f>
        <v>1467.8096451271181</v>
      </c>
      <c r="H37" s="1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5" customHeight="1">
      <c r="A38" s="2"/>
      <c r="B38" s="196"/>
      <c r="C38" s="198">
        <v>43282</v>
      </c>
      <c r="D38" s="199">
        <f t="shared" si="36"/>
        <v>264786.17231638409</v>
      </c>
      <c r="E38" s="199">
        <f>$K$11/3</f>
        <v>1392.2057438794727</v>
      </c>
      <c r="F38" s="199">
        <f t="shared" si="34"/>
        <v>263393.96657250461</v>
      </c>
      <c r="G38" s="199"/>
      <c r="H38" s="1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5" customHeight="1">
      <c r="A39" s="2"/>
      <c r="B39" s="196"/>
      <c r="C39" s="198">
        <v>43313</v>
      </c>
      <c r="D39" s="199">
        <f t="shared" si="36"/>
        <v>263393.96657250461</v>
      </c>
      <c r="E39" s="199">
        <f>$K$11/3</f>
        <v>1392.2057438794727</v>
      </c>
      <c r="F39" s="199">
        <f t="shared" si="34"/>
        <v>262001.76082862512</v>
      </c>
      <c r="G39" s="199"/>
      <c r="H39" s="1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5" customHeight="1">
      <c r="A40" s="2"/>
      <c r="B40" s="196"/>
      <c r="C40" s="198">
        <v>43344</v>
      </c>
      <c r="D40" s="199">
        <f t="shared" si="36"/>
        <v>262001.76082862512</v>
      </c>
      <c r="E40" s="199">
        <f>$K$11/3</f>
        <v>1392.2057438794727</v>
      </c>
      <c r="F40" s="199">
        <f t="shared" si="34"/>
        <v>260609.55508474563</v>
      </c>
      <c r="G40" s="199">
        <f>(D38+D39+D40+F40)/4*'Исходные данные'!$B$102/4</f>
        <v>1444.8382503531068</v>
      </c>
      <c r="H40" s="1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5" customHeight="1">
      <c r="A41" s="2"/>
      <c r="B41" s="196"/>
      <c r="C41" s="198">
        <v>43374</v>
      </c>
      <c r="D41" s="199">
        <f t="shared" si="36"/>
        <v>260609.55508474563</v>
      </c>
      <c r="E41" s="199">
        <f>$L$11/3</f>
        <v>1392.2057438794727</v>
      </c>
      <c r="F41" s="199">
        <f t="shared" si="34"/>
        <v>259217.34934086615</v>
      </c>
      <c r="G41" s="199"/>
      <c r="H41" s="1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5" customHeight="1">
      <c r="A42" s="2"/>
      <c r="B42" s="196"/>
      <c r="C42" s="198">
        <v>43405</v>
      </c>
      <c r="D42" s="199">
        <f t="shared" si="36"/>
        <v>259217.34934086615</v>
      </c>
      <c r="E42" s="199">
        <f>$L$11/3</f>
        <v>1392.2057438794727</v>
      </c>
      <c r="F42" s="199">
        <f t="shared" si="34"/>
        <v>257825.14359698666</v>
      </c>
      <c r="G42" s="199"/>
      <c r="H42" s="1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5" customHeight="1">
      <c r="A43" s="2"/>
      <c r="B43" s="196"/>
      <c r="C43" s="198">
        <v>43435</v>
      </c>
      <c r="D43" s="199">
        <f t="shared" si="36"/>
        <v>257825.14359698666</v>
      </c>
      <c r="E43" s="199">
        <f>$L$11/3</f>
        <v>1392.2057438794727</v>
      </c>
      <c r="F43" s="199">
        <f t="shared" si="34"/>
        <v>256432.93785310717</v>
      </c>
      <c r="G43" s="199">
        <f>(D41+D42+D43+F43)/4*'Исходные данные'!$B$102/4</f>
        <v>1421.8668555790953</v>
      </c>
      <c r="H43" s="1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5" customHeight="1">
      <c r="A44" s="2"/>
      <c r="B44" s="196"/>
      <c r="C44" s="198">
        <v>43466</v>
      </c>
      <c r="D44" s="199">
        <f t="shared" si="36"/>
        <v>256432.93785310717</v>
      </c>
      <c r="E44" s="199">
        <f>$Q$11/3</f>
        <v>1392.2057438794727</v>
      </c>
      <c r="F44" s="199">
        <f t="shared" si="34"/>
        <v>255040.73210922768</v>
      </c>
      <c r="G44" s="199"/>
      <c r="H44" s="1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5" customHeight="1">
      <c r="A45" s="2"/>
      <c r="B45" s="196"/>
      <c r="C45" s="198">
        <v>43497</v>
      </c>
      <c r="D45" s="199">
        <f t="shared" si="36"/>
        <v>255040.73210922768</v>
      </c>
      <c r="E45" s="199">
        <f>$Q$11/3</f>
        <v>1392.2057438794727</v>
      </c>
      <c r="F45" s="199">
        <f t="shared" si="34"/>
        <v>253648.5263653482</v>
      </c>
      <c r="G45" s="199"/>
      <c r="H45" s="1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5" customHeight="1">
      <c r="A46" s="2"/>
      <c r="B46" s="196"/>
      <c r="C46" s="198">
        <v>43525</v>
      </c>
      <c r="D46" s="199">
        <f t="shared" si="36"/>
        <v>253648.5263653482</v>
      </c>
      <c r="E46" s="199">
        <f>$Q$11/3</f>
        <v>1392.2057438794727</v>
      </c>
      <c r="F46" s="199">
        <f t="shared" si="34"/>
        <v>252256.32062146871</v>
      </c>
      <c r="G46" s="199">
        <f>(D44+D45+D46+F46)/4*'Исходные данные'!$B$102/4</f>
        <v>1398.8954608050835</v>
      </c>
      <c r="H46" s="1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5" customHeight="1">
      <c r="A47" s="2"/>
      <c r="B47" s="196"/>
      <c r="C47" s="198">
        <v>43556</v>
      </c>
      <c r="D47" s="199">
        <f t="shared" si="36"/>
        <v>252256.32062146871</v>
      </c>
      <c r="E47" s="199">
        <f>$R$11/3</f>
        <v>1392.2057438794727</v>
      </c>
      <c r="F47" s="199">
        <f t="shared" si="34"/>
        <v>250864.11487758922</v>
      </c>
      <c r="G47" s="199"/>
      <c r="H47" s="1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5" customHeight="1">
      <c r="A48" s="2"/>
      <c r="B48" s="196"/>
      <c r="C48" s="198">
        <v>43586</v>
      </c>
      <c r="D48" s="199">
        <f t="shared" si="36"/>
        <v>250864.11487758922</v>
      </c>
      <c r="E48" s="199">
        <f>$R$11/3</f>
        <v>1392.2057438794727</v>
      </c>
      <c r="F48" s="199">
        <f t="shared" si="34"/>
        <v>249471.90913370973</v>
      </c>
      <c r="G48" s="199"/>
      <c r="H48" s="1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5" customHeight="1">
      <c r="A49" s="2"/>
      <c r="B49" s="196"/>
      <c r="C49" s="198">
        <v>43617</v>
      </c>
      <c r="D49" s="199">
        <f t="shared" si="36"/>
        <v>249471.90913370973</v>
      </c>
      <c r="E49" s="199">
        <f>$R$11/3</f>
        <v>1392.2057438794727</v>
      </c>
      <c r="F49" s="199">
        <f t="shared" si="34"/>
        <v>248079.70338983025</v>
      </c>
      <c r="G49" s="199">
        <f>(D47+D48+D49+F49)/4*'Исходные данные'!$B$102/4</f>
        <v>1375.9240660310718</v>
      </c>
      <c r="H49" s="1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5" customHeight="1">
      <c r="A50" s="2"/>
      <c r="B50" s="196"/>
      <c r="C50" s="198">
        <v>43647</v>
      </c>
      <c r="D50" s="199">
        <f t="shared" si="36"/>
        <v>248079.70338983025</v>
      </c>
      <c r="E50" s="199">
        <f>$S$11/3</f>
        <v>1392.2057438794727</v>
      </c>
      <c r="F50" s="199">
        <f t="shared" si="34"/>
        <v>246687.49764595076</v>
      </c>
      <c r="G50" s="199"/>
      <c r="H50" s="1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5" customHeight="1">
      <c r="A51" s="2"/>
      <c r="B51" s="196"/>
      <c r="C51" s="198">
        <v>43678</v>
      </c>
      <c r="D51" s="199">
        <f t="shared" si="36"/>
        <v>246687.49764595076</v>
      </c>
      <c r="E51" s="199">
        <f>$S$11/3</f>
        <v>1392.2057438794727</v>
      </c>
      <c r="F51" s="199">
        <f t="shared" si="34"/>
        <v>245295.29190207127</v>
      </c>
      <c r="G51" s="199"/>
      <c r="H51" s="1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5" customHeight="1">
      <c r="A52" s="2"/>
      <c r="B52" s="196"/>
      <c r="C52" s="198">
        <v>43709</v>
      </c>
      <c r="D52" s="199">
        <f t="shared" si="36"/>
        <v>245295.29190207127</v>
      </c>
      <c r="E52" s="199">
        <f>$S$11/3</f>
        <v>1392.2057438794727</v>
      </c>
      <c r="F52" s="199">
        <f t="shared" ref="F52:F83" si="37">D52-E52</f>
        <v>243903.08615819179</v>
      </c>
      <c r="G52" s="199">
        <f>(D50+D51+D52+F52)/4*'Исходные данные'!$B$102/4</f>
        <v>1352.9526712570605</v>
      </c>
      <c r="H52" s="1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5" customHeight="1">
      <c r="A53" s="2"/>
      <c r="B53" s="196"/>
      <c r="C53" s="198">
        <v>43739</v>
      </c>
      <c r="D53" s="199">
        <f t="shared" si="36"/>
        <v>243903.08615819179</v>
      </c>
      <c r="E53" s="199">
        <f>$T$11/3</f>
        <v>1392.2057438794727</v>
      </c>
      <c r="F53" s="199">
        <f t="shared" si="37"/>
        <v>242510.8804143123</v>
      </c>
      <c r="G53" s="199"/>
      <c r="H53" s="1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5" customHeight="1">
      <c r="A54" s="2"/>
      <c r="B54" s="196"/>
      <c r="C54" s="198">
        <v>43770</v>
      </c>
      <c r="D54" s="199">
        <f t="shared" si="36"/>
        <v>242510.8804143123</v>
      </c>
      <c r="E54" s="199">
        <f>$T$11/3</f>
        <v>1392.2057438794727</v>
      </c>
      <c r="F54" s="199">
        <f t="shared" si="37"/>
        <v>241118.67467043281</v>
      </c>
      <c r="G54" s="199"/>
      <c r="H54" s="1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5" customHeight="1">
      <c r="A55" s="2"/>
      <c r="B55" s="196"/>
      <c r="C55" s="198">
        <v>43800</v>
      </c>
      <c r="D55" s="199">
        <f t="shared" si="36"/>
        <v>241118.67467043281</v>
      </c>
      <c r="E55" s="199">
        <f>$T$11/3</f>
        <v>1392.2057438794727</v>
      </c>
      <c r="F55" s="199">
        <f t="shared" si="37"/>
        <v>239726.46892655332</v>
      </c>
      <c r="G55" s="199">
        <f>(D53+D54+D55+F55)/4*'Исходные данные'!$B$102/4</f>
        <v>1329.9812764830492</v>
      </c>
      <c r="H55" s="1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5" customHeight="1">
      <c r="A56" s="2"/>
      <c r="B56" s="196"/>
      <c r="C56" s="198">
        <v>43831</v>
      </c>
      <c r="D56" s="199">
        <f t="shared" si="36"/>
        <v>239726.46892655332</v>
      </c>
      <c r="E56" s="199">
        <f>$V$11/3</f>
        <v>1392.2057438794727</v>
      </c>
      <c r="F56" s="199">
        <f t="shared" si="37"/>
        <v>238334.26318267384</v>
      </c>
      <c r="G56" s="199"/>
      <c r="H56" s="1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5" customHeight="1">
      <c r="A57" s="2"/>
      <c r="B57" s="196"/>
      <c r="C57" s="198">
        <v>43862</v>
      </c>
      <c r="D57" s="199">
        <f t="shared" si="36"/>
        <v>238334.26318267384</v>
      </c>
      <c r="E57" s="199">
        <f>$V$11/3</f>
        <v>1392.2057438794727</v>
      </c>
      <c r="F57" s="199">
        <f t="shared" si="37"/>
        <v>236942.05743879435</v>
      </c>
      <c r="G57" s="199"/>
      <c r="H57" s="1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5" customHeight="1">
      <c r="A58" s="2"/>
      <c r="B58" s="196"/>
      <c r="C58" s="198">
        <v>43891</v>
      </c>
      <c r="D58" s="199">
        <f t="shared" si="36"/>
        <v>236942.05743879435</v>
      </c>
      <c r="E58" s="199">
        <f>$V$11/3</f>
        <v>1392.2057438794727</v>
      </c>
      <c r="F58" s="199">
        <f t="shared" si="37"/>
        <v>235549.85169491486</v>
      </c>
      <c r="G58" s="199">
        <f>(D56+D57+D58+F58)/4*'Исходные данные'!$B$102/4</f>
        <v>1307.0098817090375</v>
      </c>
      <c r="H58" s="1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5" customHeight="1">
      <c r="A59" s="2"/>
      <c r="B59" s="196"/>
      <c r="C59" s="198">
        <v>43922</v>
      </c>
      <c r="D59" s="199">
        <f t="shared" si="36"/>
        <v>235549.85169491486</v>
      </c>
      <c r="E59" s="199">
        <f>$W$11/3</f>
        <v>1392.2057438794727</v>
      </c>
      <c r="F59" s="199">
        <f t="shared" si="37"/>
        <v>234157.64595103537</v>
      </c>
      <c r="G59" s="199"/>
      <c r="H59" s="1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5" customHeight="1">
      <c r="A60" s="2"/>
      <c r="B60" s="196"/>
      <c r="C60" s="198">
        <v>43952</v>
      </c>
      <c r="D60" s="199">
        <f t="shared" si="36"/>
        <v>234157.64595103537</v>
      </c>
      <c r="E60" s="199">
        <f>$W$11/3</f>
        <v>1392.2057438794727</v>
      </c>
      <c r="F60" s="199">
        <f t="shared" si="37"/>
        <v>232765.44020715589</v>
      </c>
      <c r="G60" s="199"/>
      <c r="H60" s="1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5" customHeight="1">
      <c r="A61" s="2"/>
      <c r="B61" s="196"/>
      <c r="C61" s="198">
        <v>43983</v>
      </c>
      <c r="D61" s="199">
        <f t="shared" si="36"/>
        <v>232765.44020715589</v>
      </c>
      <c r="E61" s="199">
        <f>$W$11/3</f>
        <v>1392.2057438794727</v>
      </c>
      <c r="F61" s="199">
        <f t="shared" si="37"/>
        <v>231373.2344632764</v>
      </c>
      <c r="G61" s="199">
        <f>(D59+D60+D61+F61)/4*'Исходные данные'!$B$102/4</f>
        <v>1284.0384869350257</v>
      </c>
      <c r="H61" s="1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5" customHeight="1">
      <c r="A62" s="2"/>
      <c r="B62" s="196"/>
      <c r="C62" s="198">
        <v>44013</v>
      </c>
      <c r="D62" s="199">
        <f t="shared" si="36"/>
        <v>231373.2344632764</v>
      </c>
      <c r="E62" s="199">
        <f>$X$11/3</f>
        <v>1392.2057438794727</v>
      </c>
      <c r="F62" s="199">
        <f t="shared" si="37"/>
        <v>229981.02871939691</v>
      </c>
      <c r="G62" s="199"/>
      <c r="H62" s="1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5" customHeight="1">
      <c r="A63" s="2"/>
      <c r="B63" s="196"/>
      <c r="C63" s="198">
        <v>44044</v>
      </c>
      <c r="D63" s="199">
        <f t="shared" si="36"/>
        <v>229981.02871939691</v>
      </c>
      <c r="E63" s="199">
        <f>$X$11/3</f>
        <v>1392.2057438794727</v>
      </c>
      <c r="F63" s="199">
        <f t="shared" si="37"/>
        <v>228588.82297551743</v>
      </c>
      <c r="G63" s="199"/>
      <c r="H63" s="1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5" customHeight="1">
      <c r="A64" s="2"/>
      <c r="B64" s="196"/>
      <c r="C64" s="198">
        <v>44075</v>
      </c>
      <c r="D64" s="199">
        <f t="shared" si="36"/>
        <v>228588.82297551743</v>
      </c>
      <c r="E64" s="199">
        <f>$X$11/3</f>
        <v>1392.2057438794727</v>
      </c>
      <c r="F64" s="199">
        <f t="shared" si="37"/>
        <v>227196.61723163794</v>
      </c>
      <c r="G64" s="199">
        <f>(D62+D63+D64+F64)/4*'Исходные данные'!$B$102/4</f>
        <v>1261.0670921610144</v>
      </c>
      <c r="H64" s="1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5" customHeight="1">
      <c r="A65" s="2"/>
      <c r="B65" s="196"/>
      <c r="C65" s="198">
        <v>44105</v>
      </c>
      <c r="D65" s="199">
        <f t="shared" ref="D65:D96" si="38">F64</f>
        <v>227196.61723163794</v>
      </c>
      <c r="E65" s="199">
        <f>$Y$11/3</f>
        <v>1392.2057438794727</v>
      </c>
      <c r="F65" s="199">
        <f t="shared" si="37"/>
        <v>225804.41148775845</v>
      </c>
      <c r="G65" s="199"/>
      <c r="H65" s="1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5" customHeight="1">
      <c r="A66" s="2"/>
      <c r="B66" s="196"/>
      <c r="C66" s="198">
        <v>44136</v>
      </c>
      <c r="D66" s="199">
        <f t="shared" si="38"/>
        <v>225804.41148775845</v>
      </c>
      <c r="E66" s="199">
        <f>$Y$11/3</f>
        <v>1392.2057438794727</v>
      </c>
      <c r="F66" s="199">
        <f t="shared" si="37"/>
        <v>224412.20574387896</v>
      </c>
      <c r="G66" s="199"/>
      <c r="H66" s="1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5" customHeight="1">
      <c r="A67" s="2"/>
      <c r="B67" s="196"/>
      <c r="C67" s="198">
        <v>44166</v>
      </c>
      <c r="D67" s="199">
        <f t="shared" si="38"/>
        <v>224412.20574387896</v>
      </c>
      <c r="E67" s="199">
        <f>$Y$11/3</f>
        <v>1392.2057438794727</v>
      </c>
      <c r="F67" s="199">
        <f t="shared" si="37"/>
        <v>223019.99999999948</v>
      </c>
      <c r="G67" s="199">
        <f>(D65+D66+D67+F67)/4*'Исходные данные'!$B$102/4</f>
        <v>1238.0956973870029</v>
      </c>
      <c r="H67" s="1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5" customHeight="1">
      <c r="A68" s="2"/>
      <c r="B68" s="196"/>
      <c r="C68" s="198">
        <v>44197</v>
      </c>
      <c r="D68" s="199">
        <f t="shared" si="38"/>
        <v>223019.99999999948</v>
      </c>
      <c r="E68" s="199">
        <f>$AD$11/3</f>
        <v>1392.2057438794727</v>
      </c>
      <c r="F68" s="199">
        <f t="shared" si="37"/>
        <v>221627.79425611999</v>
      </c>
      <c r="G68" s="199"/>
      <c r="H68" s="1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5" customHeight="1">
      <c r="A69" s="2"/>
      <c r="B69" s="196"/>
      <c r="C69" s="198">
        <v>44228</v>
      </c>
      <c r="D69" s="199">
        <f t="shared" si="38"/>
        <v>221627.79425611999</v>
      </c>
      <c r="E69" s="199">
        <f>$AD$11/3</f>
        <v>1392.2057438794727</v>
      </c>
      <c r="F69" s="199">
        <f t="shared" si="37"/>
        <v>220235.5885122405</v>
      </c>
      <c r="G69" s="199"/>
      <c r="H69" s="1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5" customHeight="1">
      <c r="A70" s="2"/>
      <c r="B70" s="196"/>
      <c r="C70" s="198">
        <v>44256</v>
      </c>
      <c r="D70" s="199">
        <f t="shared" si="38"/>
        <v>220235.5885122405</v>
      </c>
      <c r="E70" s="199">
        <f>$AD$11/3</f>
        <v>1392.2057438794727</v>
      </c>
      <c r="F70" s="199">
        <f t="shared" si="37"/>
        <v>218843.38276836101</v>
      </c>
      <c r="G70" s="199">
        <f>(D68+D69+D70+F70)/4*'Исходные данные'!$B$102/4</f>
        <v>1215.1243026129912</v>
      </c>
      <c r="H70" s="1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5" customHeight="1">
      <c r="A71" s="2"/>
      <c r="B71" s="196"/>
      <c r="C71" s="198">
        <v>44287</v>
      </c>
      <c r="D71" s="199">
        <f t="shared" si="38"/>
        <v>218843.38276836101</v>
      </c>
      <c r="E71" s="199">
        <f>$AE$11/3</f>
        <v>1392.2057438794727</v>
      </c>
      <c r="F71" s="199">
        <f t="shared" si="37"/>
        <v>217451.17702448153</v>
      </c>
      <c r="G71" s="199"/>
      <c r="H71" s="1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5" customHeight="1">
      <c r="A72" s="2"/>
      <c r="B72" s="196"/>
      <c r="C72" s="198">
        <v>44317</v>
      </c>
      <c r="D72" s="199">
        <f t="shared" si="38"/>
        <v>217451.17702448153</v>
      </c>
      <c r="E72" s="199">
        <f>$AE$11/3</f>
        <v>1392.2057438794727</v>
      </c>
      <c r="F72" s="199">
        <f t="shared" si="37"/>
        <v>216058.97128060204</v>
      </c>
      <c r="G72" s="199"/>
      <c r="H72" s="1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5" customHeight="1">
      <c r="A73" s="2"/>
      <c r="B73" s="196"/>
      <c r="C73" s="198">
        <v>44348</v>
      </c>
      <c r="D73" s="199">
        <f t="shared" si="38"/>
        <v>216058.97128060204</v>
      </c>
      <c r="E73" s="199">
        <f>$AE$11/3</f>
        <v>1392.2057438794727</v>
      </c>
      <c r="F73" s="199">
        <f t="shared" si="37"/>
        <v>214666.76553672255</v>
      </c>
      <c r="G73" s="199">
        <f>(D71+D72+D73+F73)/4*'Исходные данные'!$B$102/4</f>
        <v>1192.1529078389797</v>
      </c>
      <c r="H73" s="1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5" customHeight="1">
      <c r="A74" s="2"/>
      <c r="B74" s="196"/>
      <c r="C74" s="198">
        <v>44378</v>
      </c>
      <c r="D74" s="199">
        <f t="shared" si="38"/>
        <v>214666.76553672255</v>
      </c>
      <c r="E74" s="199">
        <f>$AF$11/3</f>
        <v>1392.2057438794727</v>
      </c>
      <c r="F74" s="199">
        <f t="shared" si="37"/>
        <v>213274.55979284307</v>
      </c>
      <c r="G74" s="199"/>
      <c r="H74" s="1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5" customHeight="1">
      <c r="A75" s="2"/>
      <c r="B75" s="196"/>
      <c r="C75" s="198">
        <v>44409</v>
      </c>
      <c r="D75" s="199">
        <f t="shared" si="38"/>
        <v>213274.55979284307</v>
      </c>
      <c r="E75" s="199">
        <f>$AF$11/3</f>
        <v>1392.2057438794727</v>
      </c>
      <c r="F75" s="199">
        <f t="shared" si="37"/>
        <v>211882.35404896358</v>
      </c>
      <c r="G75" s="199"/>
      <c r="H75" s="1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5" customHeight="1">
      <c r="A76" s="2"/>
      <c r="B76" s="196"/>
      <c r="C76" s="198">
        <v>44440</v>
      </c>
      <c r="D76" s="199">
        <f t="shared" si="38"/>
        <v>211882.35404896358</v>
      </c>
      <c r="E76" s="199">
        <f>$AF$11/3</f>
        <v>1392.2057438794727</v>
      </c>
      <c r="F76" s="199">
        <f t="shared" si="37"/>
        <v>210490.14830508409</v>
      </c>
      <c r="G76" s="199">
        <f>(D74+D75+D76+F76)/4*'Исходные данные'!$B$102/4</f>
        <v>1169.1815130649682</v>
      </c>
      <c r="H76" s="1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5" customHeight="1">
      <c r="A77" s="2"/>
      <c r="B77" s="196"/>
      <c r="C77" s="198">
        <v>44470</v>
      </c>
      <c r="D77" s="199">
        <f t="shared" si="38"/>
        <v>210490.14830508409</v>
      </c>
      <c r="E77" s="199">
        <f>$AG$11/3</f>
        <v>1392.2057438794727</v>
      </c>
      <c r="F77" s="199">
        <f t="shared" si="37"/>
        <v>209097.9425612046</v>
      </c>
      <c r="G77" s="199"/>
      <c r="H77" s="1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5" customHeight="1">
      <c r="A78" s="2"/>
      <c r="B78" s="196"/>
      <c r="C78" s="198">
        <v>44501</v>
      </c>
      <c r="D78" s="199">
        <f t="shared" si="38"/>
        <v>209097.9425612046</v>
      </c>
      <c r="E78" s="199">
        <f>$AG$11/3</f>
        <v>1392.2057438794727</v>
      </c>
      <c r="F78" s="199">
        <f t="shared" si="37"/>
        <v>207705.73681732512</v>
      </c>
      <c r="G78" s="199"/>
      <c r="H78" s="1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5" customHeight="1">
      <c r="A79" s="2"/>
      <c r="B79" s="196"/>
      <c r="C79" s="198">
        <v>44531</v>
      </c>
      <c r="D79" s="199">
        <f t="shared" si="38"/>
        <v>207705.73681732512</v>
      </c>
      <c r="E79" s="199">
        <f>$AG$11/3</f>
        <v>1392.2057438794727</v>
      </c>
      <c r="F79" s="199">
        <f t="shared" si="37"/>
        <v>206313.53107344563</v>
      </c>
      <c r="G79" s="199">
        <f>(D77+D78+D79+F79)/4*'Исходные данные'!$B$102/4</f>
        <v>1146.2101182909569</v>
      </c>
      <c r="H79" s="1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5" customHeight="1">
      <c r="A80" s="2"/>
      <c r="B80" s="196"/>
      <c r="C80" s="198">
        <v>44562</v>
      </c>
      <c r="D80" s="199">
        <f t="shared" si="38"/>
        <v>206313.53107344563</v>
      </c>
      <c r="E80" s="199">
        <f>$AI$11/3</f>
        <v>1392.2057438794727</v>
      </c>
      <c r="F80" s="199">
        <f t="shared" si="37"/>
        <v>204921.32532956614</v>
      </c>
      <c r="G80" s="199"/>
      <c r="H80" s="1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5" customHeight="1">
      <c r="A81" s="2"/>
      <c r="B81" s="196"/>
      <c r="C81" s="198">
        <v>44593</v>
      </c>
      <c r="D81" s="199">
        <f t="shared" si="38"/>
        <v>204921.32532956614</v>
      </c>
      <c r="E81" s="199">
        <f>$AI$11/3</f>
        <v>1392.2057438794727</v>
      </c>
      <c r="F81" s="199">
        <f t="shared" si="37"/>
        <v>203529.11958568665</v>
      </c>
      <c r="G81" s="199"/>
      <c r="H81" s="1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5" customHeight="1">
      <c r="A82" s="2"/>
      <c r="B82" s="196"/>
      <c r="C82" s="198">
        <v>44621</v>
      </c>
      <c r="D82" s="199">
        <f t="shared" si="38"/>
        <v>203529.11958568665</v>
      </c>
      <c r="E82" s="199">
        <f>$AI$11/3</f>
        <v>1392.2057438794727</v>
      </c>
      <c r="F82" s="199">
        <f t="shared" si="37"/>
        <v>202136.91384180717</v>
      </c>
      <c r="G82" s="199">
        <f>(D80+D81+D82+F82)/4*'Исходные данные'!$B$102/4</f>
        <v>1123.2387235169451</v>
      </c>
      <c r="H82" s="1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5" customHeight="1">
      <c r="A83" s="2"/>
      <c r="B83" s="196"/>
      <c r="C83" s="198">
        <v>44652</v>
      </c>
      <c r="D83" s="199">
        <f t="shared" si="38"/>
        <v>202136.91384180717</v>
      </c>
      <c r="E83" s="199">
        <f>$AJ$11/3</f>
        <v>1392.2057438794727</v>
      </c>
      <c r="F83" s="199">
        <f t="shared" si="37"/>
        <v>200744.70809792768</v>
      </c>
      <c r="G83" s="199"/>
      <c r="H83" s="1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5" customHeight="1">
      <c r="A84" s="2"/>
      <c r="B84" s="196"/>
      <c r="C84" s="198">
        <v>44682</v>
      </c>
      <c r="D84" s="199">
        <f t="shared" si="38"/>
        <v>200744.70809792768</v>
      </c>
      <c r="E84" s="199">
        <f>$AJ$11/3</f>
        <v>1392.2057438794727</v>
      </c>
      <c r="F84" s="199">
        <f t="shared" ref="F84:F115" si="39">D84-E84</f>
        <v>199352.50235404819</v>
      </c>
      <c r="G84" s="199"/>
      <c r="H84" s="1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5" customHeight="1">
      <c r="A85" s="2"/>
      <c r="B85" s="196"/>
      <c r="C85" s="198">
        <v>44713</v>
      </c>
      <c r="D85" s="199">
        <f t="shared" si="38"/>
        <v>199352.50235404819</v>
      </c>
      <c r="E85" s="199">
        <f>$AJ$11/3</f>
        <v>1392.2057438794727</v>
      </c>
      <c r="F85" s="199">
        <f t="shared" si="39"/>
        <v>197960.29661016871</v>
      </c>
      <c r="G85" s="199">
        <f>(D83+D84+D85+F85)/4*'Исходные данные'!$B$102/4</f>
        <v>1100.2673287429334</v>
      </c>
      <c r="H85" s="1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5" customHeight="1">
      <c r="A86" s="2"/>
      <c r="B86" s="196"/>
      <c r="C86" s="198">
        <v>44743</v>
      </c>
      <c r="D86" s="199">
        <f t="shared" si="38"/>
        <v>197960.29661016871</v>
      </c>
      <c r="E86" s="199">
        <f>$AK$11/3</f>
        <v>1392.2057438794727</v>
      </c>
      <c r="F86" s="199">
        <f t="shared" si="39"/>
        <v>196568.09086628922</v>
      </c>
      <c r="G86" s="199"/>
      <c r="H86" s="1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5" customHeight="1">
      <c r="A87" s="2"/>
      <c r="B87" s="196"/>
      <c r="C87" s="198">
        <v>44774</v>
      </c>
      <c r="D87" s="199">
        <f t="shared" si="38"/>
        <v>196568.09086628922</v>
      </c>
      <c r="E87" s="199">
        <f>$AK$11/3</f>
        <v>1392.2057438794727</v>
      </c>
      <c r="F87" s="199">
        <f t="shared" si="39"/>
        <v>195175.88512240973</v>
      </c>
      <c r="G87" s="199"/>
      <c r="H87" s="1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5" customHeight="1">
      <c r="A88" s="2"/>
      <c r="B88" s="196"/>
      <c r="C88" s="198">
        <v>44805</v>
      </c>
      <c r="D88" s="199">
        <f t="shared" si="38"/>
        <v>195175.88512240973</v>
      </c>
      <c r="E88" s="199">
        <f>$AK$11/3</f>
        <v>1392.2057438794727</v>
      </c>
      <c r="F88" s="199">
        <f t="shared" si="39"/>
        <v>193783.67937853024</v>
      </c>
      <c r="G88" s="199">
        <f>(D86+D87+D88+F88)/4*'Исходные данные'!$B$102/4</f>
        <v>1077.2959339689221</v>
      </c>
      <c r="H88" s="1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5" customHeight="1">
      <c r="A89" s="2"/>
      <c r="B89" s="196"/>
      <c r="C89" s="198">
        <v>44835</v>
      </c>
      <c r="D89" s="199">
        <f t="shared" si="38"/>
        <v>193783.67937853024</v>
      </c>
      <c r="E89" s="199">
        <f>$AL$11/3</f>
        <v>1392.2057438794727</v>
      </c>
      <c r="F89" s="199">
        <f t="shared" si="39"/>
        <v>192391.47363465076</v>
      </c>
      <c r="G89" s="199"/>
      <c r="H89" s="1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5" customHeight="1">
      <c r="A90" s="2"/>
      <c r="B90" s="196"/>
      <c r="C90" s="198">
        <v>44866</v>
      </c>
      <c r="D90" s="199">
        <f t="shared" si="38"/>
        <v>192391.47363465076</v>
      </c>
      <c r="E90" s="199">
        <f>$AL$11/3</f>
        <v>1392.2057438794727</v>
      </c>
      <c r="F90" s="199">
        <f t="shared" si="39"/>
        <v>190999.26789077127</v>
      </c>
      <c r="G90" s="199"/>
      <c r="H90" s="1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5" customHeight="1">
      <c r="A91" s="2"/>
      <c r="B91" s="196"/>
      <c r="C91" s="198">
        <v>44896</v>
      </c>
      <c r="D91" s="199">
        <f t="shared" si="38"/>
        <v>190999.26789077127</v>
      </c>
      <c r="E91" s="199">
        <f>$AL$11/3</f>
        <v>1392.2057438794727</v>
      </c>
      <c r="F91" s="199">
        <f t="shared" si="39"/>
        <v>189607.06214689178</v>
      </c>
      <c r="G91" s="199">
        <f>(D89+D90+D91+F91)/4*'Исходные данные'!$B$102/4</f>
        <v>1054.3245391949106</v>
      </c>
      <c r="H91" s="1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5" customHeight="1">
      <c r="A92" s="2"/>
      <c r="B92" s="196"/>
      <c r="C92" s="198">
        <v>44927</v>
      </c>
      <c r="D92" s="199">
        <f t="shared" si="38"/>
        <v>189607.06214689178</v>
      </c>
      <c r="E92" s="199">
        <f>$AQ$11/3</f>
        <v>1392.2057438794727</v>
      </c>
      <c r="F92" s="199">
        <f t="shared" si="39"/>
        <v>188214.85640301229</v>
      </c>
      <c r="G92" s="199"/>
      <c r="H92" s="1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5" customHeight="1">
      <c r="A93" s="2"/>
      <c r="B93" s="196"/>
      <c r="C93" s="198">
        <v>44958</v>
      </c>
      <c r="D93" s="199">
        <f t="shared" si="38"/>
        <v>188214.85640301229</v>
      </c>
      <c r="E93" s="199">
        <f>$AQ$11/3</f>
        <v>1392.2057438794727</v>
      </c>
      <c r="F93" s="199">
        <f t="shared" si="39"/>
        <v>186822.65065913281</v>
      </c>
      <c r="G93" s="199"/>
      <c r="H93" s="1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5" customHeight="1">
      <c r="A94" s="2"/>
      <c r="B94" s="196"/>
      <c r="C94" s="198">
        <v>44986</v>
      </c>
      <c r="D94" s="199">
        <f t="shared" si="38"/>
        <v>186822.65065913281</v>
      </c>
      <c r="E94" s="199">
        <f>$AQ$11/3</f>
        <v>1392.2057438794727</v>
      </c>
      <c r="F94" s="199">
        <f t="shared" si="39"/>
        <v>185430.44491525332</v>
      </c>
      <c r="G94" s="199">
        <f>(D92+D93+D94+F94)/4*'Исходные данные'!$B$102/4</f>
        <v>1031.3531444208991</v>
      </c>
      <c r="H94" s="1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5" customHeight="1">
      <c r="A95" s="2"/>
      <c r="B95" s="196"/>
      <c r="C95" s="198">
        <v>45017</v>
      </c>
      <c r="D95" s="199">
        <f t="shared" si="38"/>
        <v>185430.44491525332</v>
      </c>
      <c r="E95" s="199">
        <f>$AR$11/3</f>
        <v>1392.2057438794727</v>
      </c>
      <c r="F95" s="199">
        <f t="shared" si="39"/>
        <v>184038.23917137383</v>
      </c>
      <c r="G95" s="199"/>
      <c r="H95" s="1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5" customHeight="1">
      <c r="A96" s="2"/>
      <c r="B96" s="196"/>
      <c r="C96" s="198">
        <v>45047</v>
      </c>
      <c r="D96" s="199">
        <f t="shared" si="38"/>
        <v>184038.23917137383</v>
      </c>
      <c r="E96" s="199">
        <f>$AR$11/3</f>
        <v>1392.2057438794727</v>
      </c>
      <c r="F96" s="199">
        <f t="shared" si="39"/>
        <v>182646.03342749435</v>
      </c>
      <c r="G96" s="199"/>
      <c r="H96" s="1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5" customHeight="1">
      <c r="A97" s="2"/>
      <c r="B97" s="196"/>
      <c r="C97" s="198">
        <v>45078</v>
      </c>
      <c r="D97" s="199">
        <f t="shared" ref="D97:D115" si="40">F96</f>
        <v>182646.03342749435</v>
      </c>
      <c r="E97" s="199">
        <f>$AR$11/3</f>
        <v>1392.2057438794727</v>
      </c>
      <c r="F97" s="199">
        <f t="shared" si="39"/>
        <v>181253.82768361486</v>
      </c>
      <c r="G97" s="199">
        <f>(D95+D96+D97+F97)/4*'Исходные данные'!$B$102/4</f>
        <v>1008.3817496468872</v>
      </c>
      <c r="H97" s="1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5" customHeight="1">
      <c r="A98" s="2"/>
      <c r="B98" s="196"/>
      <c r="C98" s="198">
        <v>45108</v>
      </c>
      <c r="D98" s="199">
        <f t="shared" si="40"/>
        <v>181253.82768361486</v>
      </c>
      <c r="E98" s="199">
        <f>$AS$11/3</f>
        <v>1392.2057438794727</v>
      </c>
      <c r="F98" s="199">
        <f t="shared" si="39"/>
        <v>179861.62193973537</v>
      </c>
      <c r="G98" s="199"/>
      <c r="H98" s="1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5" customHeight="1">
      <c r="A99" s="2"/>
      <c r="B99" s="196"/>
      <c r="C99" s="198">
        <v>45139</v>
      </c>
      <c r="D99" s="199">
        <f t="shared" si="40"/>
        <v>179861.62193973537</v>
      </c>
      <c r="E99" s="199">
        <f>$AS$11/3</f>
        <v>1392.2057438794727</v>
      </c>
      <c r="F99" s="199">
        <f t="shared" si="39"/>
        <v>178469.41619585588</v>
      </c>
      <c r="G99" s="199"/>
      <c r="H99" s="1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5" customHeight="1">
      <c r="A100" s="2"/>
      <c r="B100" s="196"/>
      <c r="C100" s="198">
        <v>45170</v>
      </c>
      <c r="D100" s="199">
        <f t="shared" si="40"/>
        <v>178469.41619585588</v>
      </c>
      <c r="E100" s="199">
        <f>$AS$11/3</f>
        <v>1392.2057438794727</v>
      </c>
      <c r="F100" s="199">
        <f t="shared" si="39"/>
        <v>177077.2104519764</v>
      </c>
      <c r="G100" s="199">
        <f>(D98+D99+D100+F100)/4*'Исходные данные'!$B$102/4</f>
        <v>985.41035487287593</v>
      </c>
      <c r="H100" s="1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5" customHeight="1">
      <c r="A101" s="2"/>
      <c r="B101" s="196"/>
      <c r="C101" s="198">
        <v>45200</v>
      </c>
      <c r="D101" s="199">
        <f t="shared" si="40"/>
        <v>177077.2104519764</v>
      </c>
      <c r="E101" s="199">
        <f>$AT$11/3</f>
        <v>1392.2057438794727</v>
      </c>
      <c r="F101" s="199">
        <f t="shared" si="39"/>
        <v>175685.00470809691</v>
      </c>
      <c r="G101" s="199"/>
      <c r="H101" s="1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5" customHeight="1">
      <c r="A102" s="2"/>
      <c r="B102" s="196"/>
      <c r="C102" s="198">
        <v>45231</v>
      </c>
      <c r="D102" s="199">
        <f t="shared" si="40"/>
        <v>175685.00470809691</v>
      </c>
      <c r="E102" s="199">
        <f>$AT$11/3</f>
        <v>1392.2057438794727</v>
      </c>
      <c r="F102" s="199">
        <f t="shared" si="39"/>
        <v>174292.79896421742</v>
      </c>
      <c r="G102" s="199"/>
      <c r="H102" s="1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5" customHeight="1">
      <c r="A103" s="2"/>
      <c r="B103" s="196"/>
      <c r="C103" s="198">
        <v>45261</v>
      </c>
      <c r="D103" s="199">
        <f t="shared" si="40"/>
        <v>174292.79896421742</v>
      </c>
      <c r="E103" s="199">
        <f>$AT$11/3</f>
        <v>1392.2057438794727</v>
      </c>
      <c r="F103" s="199">
        <f t="shared" si="39"/>
        <v>172900.59322033793</v>
      </c>
      <c r="G103" s="199">
        <f>(D101+D102+D103+F103)/4*'Исходные данные'!$B$102/4</f>
        <v>962.43896009886453</v>
      </c>
      <c r="H103" s="1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5" customHeight="1">
      <c r="A104" s="2"/>
      <c r="B104" s="196"/>
      <c r="C104" s="198">
        <v>45292</v>
      </c>
      <c r="D104" s="199">
        <f t="shared" si="40"/>
        <v>172900.59322033793</v>
      </c>
      <c r="E104" s="199">
        <f>$AV$11/3</f>
        <v>1392.2057438794727</v>
      </c>
      <c r="F104" s="199">
        <f t="shared" si="39"/>
        <v>171508.38747645845</v>
      </c>
      <c r="G104" s="199"/>
      <c r="H104" s="1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5" customHeight="1">
      <c r="A105" s="2"/>
      <c r="B105" s="196"/>
      <c r="C105" s="198">
        <v>45323</v>
      </c>
      <c r="D105" s="199">
        <f t="shared" si="40"/>
        <v>171508.38747645845</v>
      </c>
      <c r="E105" s="199">
        <f>$AV$11/3</f>
        <v>1392.2057438794727</v>
      </c>
      <c r="F105" s="199">
        <f t="shared" si="39"/>
        <v>170116.18173257896</v>
      </c>
      <c r="G105" s="199"/>
      <c r="H105" s="1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5" customHeight="1">
      <c r="A106" s="2"/>
      <c r="B106" s="196"/>
      <c r="C106" s="198">
        <v>45352</v>
      </c>
      <c r="D106" s="199">
        <f t="shared" si="40"/>
        <v>170116.18173257896</v>
      </c>
      <c r="E106" s="199">
        <f>$AV$11/3</f>
        <v>1392.2057438794727</v>
      </c>
      <c r="F106" s="199">
        <f t="shared" si="39"/>
        <v>168723.97598869947</v>
      </c>
      <c r="G106" s="199">
        <f>(D104+D105+D106+F106)/4*'Исходные данные'!$B$102/4</f>
        <v>939.46756532485279</v>
      </c>
      <c r="H106" s="1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5" customHeight="1">
      <c r="A107" s="2"/>
      <c r="B107" s="196"/>
      <c r="C107" s="198">
        <v>45383</v>
      </c>
      <c r="D107" s="199">
        <f t="shared" si="40"/>
        <v>168723.97598869947</v>
      </c>
      <c r="E107" s="199">
        <f>$AW$11/3</f>
        <v>1392.2057438794727</v>
      </c>
      <c r="F107" s="199">
        <f t="shared" si="39"/>
        <v>167331.77024481999</v>
      </c>
      <c r="G107" s="199"/>
      <c r="H107" s="1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5" customHeight="1">
      <c r="A108" s="2"/>
      <c r="B108" s="196"/>
      <c r="C108" s="198">
        <v>45413</v>
      </c>
      <c r="D108" s="199">
        <f t="shared" si="40"/>
        <v>167331.77024481999</v>
      </c>
      <c r="E108" s="199">
        <f>$AW$11/3</f>
        <v>1392.2057438794727</v>
      </c>
      <c r="F108" s="199">
        <f t="shared" si="39"/>
        <v>165939.5645009405</v>
      </c>
      <c r="G108" s="199"/>
      <c r="H108" s="1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5" customHeight="1">
      <c r="A109" s="2"/>
      <c r="B109" s="196"/>
      <c r="C109" s="198">
        <v>45444</v>
      </c>
      <c r="D109" s="199">
        <f t="shared" si="40"/>
        <v>165939.5645009405</v>
      </c>
      <c r="E109" s="199">
        <f>$AW$11/3</f>
        <v>1392.2057438794727</v>
      </c>
      <c r="F109" s="199">
        <f t="shared" si="39"/>
        <v>164547.35875706101</v>
      </c>
      <c r="G109" s="199">
        <f>(D107+D108+D109+F109)/4*'Исходные данные'!$B$102/4</f>
        <v>916.49617055084127</v>
      </c>
      <c r="H109" s="1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5" customHeight="1">
      <c r="A110" s="2"/>
      <c r="B110" s="196"/>
      <c r="C110" s="198">
        <v>45474</v>
      </c>
      <c r="D110" s="199">
        <f t="shared" si="40"/>
        <v>164547.35875706101</v>
      </c>
      <c r="E110" s="199">
        <f>$AX$11/3</f>
        <v>1392.2057438794727</v>
      </c>
      <c r="F110" s="199">
        <f t="shared" si="39"/>
        <v>163155.15301318152</v>
      </c>
      <c r="G110" s="199"/>
      <c r="H110" s="1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5" customHeight="1">
      <c r="A111" s="2"/>
      <c r="B111" s="196"/>
      <c r="C111" s="198">
        <v>45505</v>
      </c>
      <c r="D111" s="199">
        <f t="shared" si="40"/>
        <v>163155.15301318152</v>
      </c>
      <c r="E111" s="199">
        <f>$AX$11/3</f>
        <v>1392.2057438794727</v>
      </c>
      <c r="F111" s="199">
        <f t="shared" si="39"/>
        <v>161762.94726930204</v>
      </c>
      <c r="G111" s="199"/>
      <c r="H111" s="1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5" customHeight="1">
      <c r="A112" s="2"/>
      <c r="B112" s="196"/>
      <c r="C112" s="198">
        <v>45536</v>
      </c>
      <c r="D112" s="199">
        <f t="shared" si="40"/>
        <v>161762.94726930204</v>
      </c>
      <c r="E112" s="199">
        <f>$AX$11/3</f>
        <v>1392.2057438794727</v>
      </c>
      <c r="F112" s="199">
        <f t="shared" si="39"/>
        <v>160370.74152542255</v>
      </c>
      <c r="G112" s="199">
        <f>(D110+D111+D112+F112)/4*'Исходные данные'!$B$102/4</f>
        <v>893.52477577682976</v>
      </c>
      <c r="H112" s="1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15" customHeight="1">
      <c r="A113" s="2"/>
      <c r="B113" s="196"/>
      <c r="C113" s="198">
        <v>45566</v>
      </c>
      <c r="D113" s="199">
        <f t="shared" si="40"/>
        <v>160370.74152542255</v>
      </c>
      <c r="E113" s="199">
        <f>$AY$11/3</f>
        <v>1392.2057438794727</v>
      </c>
      <c r="F113" s="199">
        <f t="shared" si="39"/>
        <v>158978.53578154306</v>
      </c>
      <c r="G113" s="199"/>
      <c r="H113" s="1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ht="15" customHeight="1">
      <c r="A114" s="2"/>
      <c r="B114" s="196"/>
      <c r="C114" s="198">
        <v>45597</v>
      </c>
      <c r="D114" s="199">
        <f t="shared" si="40"/>
        <v>158978.53578154306</v>
      </c>
      <c r="E114" s="199">
        <f>$AY$11/3</f>
        <v>1392.2057438794727</v>
      </c>
      <c r="F114" s="199">
        <f t="shared" si="39"/>
        <v>157586.33003766357</v>
      </c>
      <c r="G114" s="199"/>
      <c r="H114" s="1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15" customHeight="1">
      <c r="A115" s="2"/>
      <c r="B115" s="196"/>
      <c r="C115" s="198">
        <v>45627</v>
      </c>
      <c r="D115" s="199">
        <f t="shared" si="40"/>
        <v>157586.33003766357</v>
      </c>
      <c r="E115" s="199">
        <f>$AY$11/3</f>
        <v>1392.2057438794727</v>
      </c>
      <c r="F115" s="199">
        <f t="shared" si="39"/>
        <v>156194.12429378409</v>
      </c>
      <c r="G115" s="199">
        <f>(D113+D114+D115+F115)/4*'Исходные данные'!$B$102/4</f>
        <v>870.55338100281824</v>
      </c>
      <c r="H115" s="1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</sheetData>
  <mergeCells count="37">
    <mergeCell ref="AN6:AN10"/>
    <mergeCell ref="AN11:AN15"/>
    <mergeCell ref="AA6:AA10"/>
    <mergeCell ref="AA11:AA15"/>
    <mergeCell ref="AN1:AZ1"/>
    <mergeCell ref="AN2:AZ2"/>
    <mergeCell ref="AN3:AN4"/>
    <mergeCell ref="AO3:AO4"/>
    <mergeCell ref="AP3:AP4"/>
    <mergeCell ref="AQ3:AU3"/>
    <mergeCell ref="AV3:AZ3"/>
    <mergeCell ref="AA1:AM1"/>
    <mergeCell ref="AA2:AM2"/>
    <mergeCell ref="AA3:AA4"/>
    <mergeCell ref="AB3:AB4"/>
    <mergeCell ref="AC3:AC4"/>
    <mergeCell ref="AD3:AH3"/>
    <mergeCell ref="AI3:AM3"/>
    <mergeCell ref="A6:A10"/>
    <mergeCell ref="A11:A15"/>
    <mergeCell ref="A1:M1"/>
    <mergeCell ref="A2:M2"/>
    <mergeCell ref="A3:A4"/>
    <mergeCell ref="B3:B4"/>
    <mergeCell ref="C3:C4"/>
    <mergeCell ref="D3:H3"/>
    <mergeCell ref="I3:M3"/>
    <mergeCell ref="C18:G18"/>
    <mergeCell ref="N1:Z1"/>
    <mergeCell ref="N2:Z2"/>
    <mergeCell ref="N3:N4"/>
    <mergeCell ref="O3:O4"/>
    <mergeCell ref="P3:P4"/>
    <mergeCell ref="Q3:U3"/>
    <mergeCell ref="V3:Z3"/>
    <mergeCell ref="N6:N10"/>
    <mergeCell ref="N11:N15"/>
  </mergeCells>
  <pageMargins left="0.78740200000000005" right="0.78740200000000005" top="1.1811" bottom="0.59055100000000005" header="0.51181100000000002" footer="0.51181100000000002"/>
  <pageSetup scale="92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Исходные данные</vt:lpstr>
      <vt:lpstr>Т 1</vt:lpstr>
      <vt:lpstr>Т 2</vt:lpstr>
      <vt:lpstr>Т 3</vt:lpstr>
      <vt:lpstr>Т 4</vt:lpstr>
      <vt:lpstr>Т 5</vt:lpstr>
      <vt:lpstr>Т 6</vt:lpstr>
      <vt:lpstr>ОС</vt:lpstr>
      <vt:lpstr>Т 7</vt:lpstr>
      <vt:lpstr>Т 8</vt:lpstr>
      <vt:lpstr>Т 9</vt:lpstr>
      <vt:lpstr>Т 10</vt:lpstr>
      <vt:lpstr>Т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Литвинова</dc:creator>
  <cp:lastModifiedBy>ovpoleg@mail.ru</cp:lastModifiedBy>
  <dcterms:created xsi:type="dcterms:W3CDTF">2020-11-05T14:02:42Z</dcterms:created>
  <dcterms:modified xsi:type="dcterms:W3CDTF">2020-12-16T12:22:30Z</dcterms:modified>
</cp:coreProperties>
</file>